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660" activeTab="0"/>
  </bookViews>
  <sheets>
    <sheet name="summary" sheetId="1" r:id="rId1"/>
    <sheet name="Last Year Actual" sheetId="2" r:id="rId2"/>
    <sheet name="Current Year Budget" sheetId="3" r:id="rId3"/>
    <sheet name="Actuals and Projection" sheetId="4" r:id="rId4"/>
    <sheet name="Cash Flow Projection" sheetId="5" r:id="rId5"/>
  </sheets>
  <definedNames>
    <definedName name="_xlnm.Print_Area" localSheetId="4">'Cash Flow Projection'!$A$1:$Z$20</definedName>
    <definedName name="_xlnm.Print_Area" localSheetId="1">'Last Year Actual'!$A$1:$O$48</definedName>
  </definedNames>
  <calcPr fullCalcOnLoad="1"/>
</workbook>
</file>

<file path=xl/sharedStrings.xml><?xml version="1.0" encoding="utf-8"?>
<sst xmlns="http://schemas.openxmlformats.org/spreadsheetml/2006/main" count="223" uniqueCount="122">
  <si>
    <t>Previous Fiscal Year Actual Results</t>
  </si>
  <si>
    <t>July</t>
  </si>
  <si>
    <t>Aug</t>
  </si>
  <si>
    <t>Sept</t>
  </si>
  <si>
    <t>Oct</t>
  </si>
  <si>
    <t>Nov</t>
  </si>
  <si>
    <t>Dec</t>
  </si>
  <si>
    <t>Jan</t>
  </si>
  <si>
    <t>Feb</t>
  </si>
  <si>
    <t>Mar</t>
  </si>
  <si>
    <t>Apr</t>
  </si>
  <si>
    <t>May</t>
  </si>
  <si>
    <t>June</t>
  </si>
  <si>
    <t>Income</t>
  </si>
  <si>
    <t>Contributed Support</t>
  </si>
  <si>
    <t xml:space="preserve">     Federal Gov't Grants</t>
  </si>
  <si>
    <t xml:space="preserve">     State Gov't Grants</t>
  </si>
  <si>
    <t xml:space="preserve">     Local Gov't Grants</t>
  </si>
  <si>
    <t xml:space="preserve">     Individual Gifts</t>
  </si>
  <si>
    <t xml:space="preserve">     Memberships</t>
  </si>
  <si>
    <t xml:space="preserve">     Bequests</t>
  </si>
  <si>
    <t xml:space="preserve">     Corporate/Foundation Grants</t>
  </si>
  <si>
    <t>Earned Revenue</t>
  </si>
  <si>
    <t xml:space="preserve">     Federal Gov't Contracts</t>
  </si>
  <si>
    <t xml:space="preserve">     State Gov't Contracts</t>
  </si>
  <si>
    <t xml:space="preserve">     Local Gov't Contracts</t>
  </si>
  <si>
    <t xml:space="preserve">     Investment Income</t>
  </si>
  <si>
    <t xml:space="preserve">     Other Income </t>
  </si>
  <si>
    <t>Expenses</t>
  </si>
  <si>
    <t>Staff Wages/Benefits</t>
  </si>
  <si>
    <t>Lease/Facility Expenses</t>
  </si>
  <si>
    <t>Professional Services</t>
  </si>
  <si>
    <t>Marketing/Advertising</t>
  </si>
  <si>
    <t>Other Administrative</t>
  </si>
  <si>
    <t>Loan Payments</t>
  </si>
  <si>
    <t>Other Expenses</t>
  </si>
  <si>
    <t>Outflows</t>
  </si>
  <si>
    <t>Total Year</t>
  </si>
  <si>
    <t>Other Fundraising Expenses</t>
  </si>
  <si>
    <r>
      <t xml:space="preserve">Credit Card Payment </t>
    </r>
    <r>
      <rPr>
        <sz val="8"/>
        <color indexed="8"/>
        <rFont val="Calibri"/>
        <family val="2"/>
      </rPr>
      <t>(unless included in other expense categories)</t>
    </r>
  </si>
  <si>
    <t>Program 1*</t>
  </si>
  <si>
    <t>Program 2*</t>
  </si>
  <si>
    <t>*Insert additional programs or events needed if your track them or you can combine into one line</t>
  </si>
  <si>
    <t xml:space="preserve">     Program 1 Fees*</t>
  </si>
  <si>
    <t xml:space="preserve">     Program 2 Fees*</t>
  </si>
  <si>
    <r>
      <t xml:space="preserve">Events Gross Income </t>
    </r>
    <r>
      <rPr>
        <sz val="9"/>
        <color indexed="8"/>
        <rFont val="Calibri"/>
        <family val="2"/>
      </rPr>
      <t>(incl. sponsorships)</t>
    </r>
    <r>
      <rPr>
        <sz val="11"/>
        <color indexed="8"/>
        <rFont val="Calibri"/>
        <family val="2"/>
      </rPr>
      <t>*</t>
    </r>
  </si>
  <si>
    <t>Net Revenue</t>
  </si>
  <si>
    <t>Event Expenses</t>
  </si>
  <si>
    <r>
      <rPr>
        <b/>
        <sz val="14"/>
        <color indexed="8"/>
        <rFont val="Calibri"/>
        <family val="2"/>
      </rPr>
      <t>Comments</t>
    </r>
    <r>
      <rPr>
        <b/>
        <sz val="11"/>
        <color indexed="8"/>
        <rFont val="Calibri"/>
        <family val="2"/>
      </rPr>
      <t xml:space="preserve"> (use this section to explain any unusual expense/revenues that may not be repeated in future years)</t>
    </r>
  </si>
  <si>
    <t>Organization Name:</t>
  </si>
  <si>
    <t xml:space="preserve">Provided by </t>
  </si>
  <si>
    <t>Note:  If your fiscal starts in a different month - change the months below</t>
  </si>
  <si>
    <t>This Year's Budget</t>
  </si>
  <si>
    <t>Note: This assumes your budget was not spread by month.  Enter Total Budget and it will autofill using last year's seasonality.  If you created a monthly budget, delete the formulas that are in the grey section and manually enter</t>
  </si>
  <si>
    <t>Annual Budget</t>
  </si>
  <si>
    <t>Fiscal YTD Actuals</t>
  </si>
  <si>
    <t>Cash Flow Projection</t>
  </si>
  <si>
    <r>
      <t xml:space="preserve">Inflows </t>
    </r>
    <r>
      <rPr>
        <b/>
        <sz val="11"/>
        <color indexed="8"/>
        <rFont val="Calibri"/>
        <family val="2"/>
      </rPr>
      <t>(formula from Projection)</t>
    </r>
  </si>
  <si>
    <t>Income from Projection</t>
  </si>
  <si>
    <r>
      <rPr>
        <b/>
        <sz val="14"/>
        <color indexed="8"/>
        <rFont val="Calibri"/>
        <family val="2"/>
      </rPr>
      <t>Comments</t>
    </r>
    <r>
      <rPr>
        <b/>
        <sz val="11"/>
        <color indexed="8"/>
        <rFont val="Calibri"/>
        <family val="2"/>
      </rPr>
      <t xml:space="preserve"> (use this section to explain your assumptions for the coming months)</t>
    </r>
  </si>
  <si>
    <t>Average Monthly Expenses</t>
  </si>
  <si>
    <t>Ending Balance of Cash on Hand</t>
  </si>
  <si>
    <t>Number of Months Available</t>
  </si>
  <si>
    <t>Beginning Cash Balance /Month</t>
  </si>
  <si>
    <t>Summary Financials</t>
  </si>
  <si>
    <t>Organization Name</t>
  </si>
  <si>
    <t>Earned Income</t>
  </si>
  <si>
    <t>Contributed Income</t>
  </si>
  <si>
    <t>Total Income</t>
  </si>
  <si>
    <t>Wages/Benefits</t>
  </si>
  <si>
    <t>Total Expenses</t>
  </si>
  <si>
    <t>Budget This Year</t>
  </si>
  <si>
    <t>YTD This Year</t>
  </si>
  <si>
    <t>Net Cash Flow</t>
  </si>
  <si>
    <t>Months of Cash on Hand</t>
  </si>
  <si>
    <t>Projection Rest of Fiscal Year</t>
  </si>
  <si>
    <t>Provided by</t>
  </si>
  <si>
    <t>(you make formula)</t>
  </si>
  <si>
    <t>Note:  $150,000 of the federal contract will be for next fiscal year</t>
  </si>
  <si>
    <t>ABC Nonrprofit</t>
  </si>
  <si>
    <t>Date:</t>
  </si>
  <si>
    <t>Fiscal Year</t>
  </si>
  <si>
    <t>Aug 20</t>
  </si>
  <si>
    <t>Sep 20</t>
  </si>
  <si>
    <t>Aug 21</t>
  </si>
  <si>
    <t>Sep 21</t>
  </si>
  <si>
    <t>Oct 20</t>
  </si>
  <si>
    <t>Nov 20</t>
  </si>
  <si>
    <t>Dec 20</t>
  </si>
  <si>
    <t>Jan 21</t>
  </si>
  <si>
    <t>Feb 21</t>
  </si>
  <si>
    <t>Mar 21</t>
  </si>
  <si>
    <t>Apr 21</t>
  </si>
  <si>
    <t>May 21</t>
  </si>
  <si>
    <t>Jun 21</t>
  </si>
  <si>
    <t>Jul 21</t>
  </si>
  <si>
    <t>Oct 21</t>
  </si>
  <si>
    <t>Nov 21</t>
  </si>
  <si>
    <t>Dec 21</t>
  </si>
  <si>
    <t>Actuals plus Projection through (state period - example dates listed below)</t>
  </si>
  <si>
    <t>Total 2 Yrs</t>
  </si>
  <si>
    <t>note if fiscal begins in July - then add columns if needed</t>
  </si>
  <si>
    <t>Unrestricted Cash on Hand (July 31, 2020)</t>
  </si>
  <si>
    <t>Number of Months YTD of Fiscal</t>
  </si>
  <si>
    <t>(enter in the yellow box how many months of actual are included)</t>
  </si>
  <si>
    <t>8/1/20</t>
  </si>
  <si>
    <t>end date</t>
  </si>
  <si>
    <t>6/30/21</t>
  </si>
  <si>
    <t>Jan 22</t>
  </si>
  <si>
    <t>Feb 22</t>
  </si>
  <si>
    <t>Mar 22</t>
  </si>
  <si>
    <t>April 22</t>
  </si>
  <si>
    <t>May 22</t>
  </si>
  <si>
    <t>Jun 22</t>
  </si>
  <si>
    <t>Note: Enter the Actual Income/Expenses year to date for this fiscal Year - provide a projection for the next 24 months</t>
  </si>
  <si>
    <t>Note: Enter the Opening Bank Balance for Unrestricted funds/if using funds from restricted dollars from the prior year place in row 10, at the beginning of the new fiscal year add in any restricted funds released from the balance sheet</t>
  </si>
  <si>
    <t>Projection through end of June 22</t>
  </si>
  <si>
    <t>Last Fiscal Year</t>
  </si>
  <si>
    <t>Projected Cash Balance as of (June 22)</t>
  </si>
  <si>
    <t>Unrestricted Cash Balance as of (Name Month)</t>
  </si>
  <si>
    <t>restricted funds released**</t>
  </si>
  <si>
    <t>** restricted funds released are monies received in the prior year that are spent in the following year (or considered deferred)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</si>
</sst>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0_);_(* \(#,##0.0\);_(* &quot;-&quot;??_);_(@_)"/>
    <numFmt numFmtId="167" formatCode="_(&quot;$&quot;* #,##0.0_);_(&quot;$&quot;* \(#,##0.0\);_(&quot;$&quot;* &quot;-&quot;??_);_(@_)"/>
    <numFmt numFmtId="168" formatCode="0.00000000"/>
    <numFmt numFmtId="169" formatCode="0.0000000"/>
    <numFmt numFmtId="170" formatCode="0.000000"/>
    <numFmt numFmtId="171" formatCode="0.00000"/>
    <numFmt numFmtId="172" formatCode="0.0000"/>
    <numFmt numFmtId="173" formatCode="0.000"/>
  </numFmts>
  <fonts count="52">
    <font>
      <sz val="11"/>
      <color indexed="8"/>
      <name val="Calibri"/>
      <family val="0"/>
    </font>
    <font>
      <sz val="11"/>
      <color indexed="8"/>
      <name val="Helvetica Neue"/>
      <family val="2"/>
    </font>
    <font>
      <sz val="11"/>
      <color indexed="14"/>
      <name val="Calibri"/>
      <family val="0"/>
    </font>
    <font>
      <u val="single"/>
      <sz val="11"/>
      <color indexed="8"/>
      <name val="Calibri"/>
      <family val="0"/>
    </font>
    <font>
      <sz val="9"/>
      <color indexed="8"/>
      <name val="Calibri"/>
      <family val="2"/>
    </font>
    <font>
      <b/>
      <sz val="14"/>
      <color indexed="8"/>
      <name val="Calibri"/>
      <family val="2"/>
    </font>
    <font>
      <b/>
      <sz val="11"/>
      <color indexed="8"/>
      <name val="Calibri"/>
      <family val="2"/>
    </font>
    <font>
      <b/>
      <sz val="18"/>
      <color indexed="8"/>
      <name val="Calibri"/>
      <family val="2"/>
    </font>
    <font>
      <sz val="8"/>
      <color indexed="8"/>
      <name val="Calibri"/>
      <family val="2"/>
    </font>
    <font>
      <i/>
      <sz val="11"/>
      <color indexed="8"/>
      <name val="Calibri"/>
      <family val="2"/>
    </font>
    <font>
      <b/>
      <sz val="12"/>
      <color indexed="8"/>
      <name val="Calibri"/>
      <family val="2"/>
    </font>
    <font>
      <i/>
      <sz val="11"/>
      <color indexed="13"/>
      <name val="Calibri"/>
      <family val="2"/>
    </font>
    <font>
      <b/>
      <u val="single"/>
      <sz val="12"/>
      <color indexed="8"/>
      <name val="Calibri"/>
      <family val="2"/>
    </font>
    <font>
      <sz val="8"/>
      <name val="Calibri"/>
      <family val="0"/>
    </font>
    <font>
      <sz val="11"/>
      <name val="Calibri"/>
      <family val="2"/>
    </font>
    <font>
      <sz val="11"/>
      <color indexed="9"/>
      <name val="Helvetica Neue"/>
      <family val="2"/>
    </font>
    <font>
      <sz val="11"/>
      <color indexed="20"/>
      <name val="Helvetica Neue"/>
      <family val="2"/>
    </font>
    <font>
      <b/>
      <sz val="11"/>
      <color indexed="52"/>
      <name val="Helvetica Neue"/>
      <family val="2"/>
    </font>
    <font>
      <b/>
      <sz val="11"/>
      <color indexed="9"/>
      <name val="Helvetica Neue"/>
      <family val="2"/>
    </font>
    <font>
      <i/>
      <sz val="11"/>
      <color indexed="23"/>
      <name val="Helvetica Neue"/>
      <family val="2"/>
    </font>
    <font>
      <sz val="11"/>
      <color indexed="58"/>
      <name val="Helvetica Neue"/>
      <family val="2"/>
    </font>
    <font>
      <b/>
      <sz val="15"/>
      <color indexed="11"/>
      <name val="Helvetica Neue"/>
      <family val="2"/>
    </font>
    <font>
      <b/>
      <sz val="13"/>
      <color indexed="11"/>
      <name val="Helvetica Neue"/>
      <family val="2"/>
    </font>
    <font>
      <b/>
      <sz val="11"/>
      <color indexed="11"/>
      <name val="Helvetica Neue"/>
      <family val="2"/>
    </font>
    <font>
      <sz val="11"/>
      <color indexed="62"/>
      <name val="Helvetica Neue"/>
      <family val="2"/>
    </font>
    <font>
      <sz val="11"/>
      <color indexed="52"/>
      <name val="Helvetica Neue"/>
      <family val="2"/>
    </font>
    <font>
      <sz val="11"/>
      <color indexed="60"/>
      <name val="Helvetica Neue"/>
      <family val="2"/>
    </font>
    <font>
      <b/>
      <sz val="11"/>
      <color indexed="16"/>
      <name val="Helvetica Neue"/>
      <family val="2"/>
    </font>
    <font>
      <sz val="18"/>
      <color indexed="11"/>
      <name val="Helvetica Neue"/>
      <family val="2"/>
    </font>
    <font>
      <b/>
      <sz val="11"/>
      <color indexed="8"/>
      <name val="Helvetica Neue"/>
      <family val="2"/>
    </font>
    <font>
      <sz val="11"/>
      <color indexed="13"/>
      <name val="Helvetica Neue"/>
      <family val="2"/>
    </font>
    <font>
      <i/>
      <sz val="9"/>
      <color indexed="13"/>
      <name val="Calibri"/>
      <family val="2"/>
    </font>
    <font>
      <sz val="8"/>
      <color indexed="13"/>
      <name val="Calibri"/>
      <family val="2"/>
    </font>
    <font>
      <sz val="11"/>
      <color theme="1"/>
      <name val="Helvetica Neue"/>
      <family val="2"/>
    </font>
    <font>
      <sz val="11"/>
      <color theme="0"/>
      <name val="Helvetica Neue"/>
      <family val="2"/>
    </font>
    <font>
      <sz val="11"/>
      <color rgb="FF9C0006"/>
      <name val="Helvetica Neue"/>
      <family val="2"/>
    </font>
    <font>
      <b/>
      <sz val="11"/>
      <color rgb="FFFA7D00"/>
      <name val="Helvetica Neue"/>
      <family val="2"/>
    </font>
    <font>
      <b/>
      <sz val="11"/>
      <color theme="0"/>
      <name val="Helvetica Neue"/>
      <family val="2"/>
    </font>
    <font>
      <i/>
      <sz val="11"/>
      <color rgb="FF7F7F7F"/>
      <name val="Helvetica Neue"/>
      <family val="2"/>
    </font>
    <font>
      <sz val="11"/>
      <color rgb="FF006100"/>
      <name val="Helvetica Neue"/>
      <family val="2"/>
    </font>
    <font>
      <b/>
      <sz val="15"/>
      <color theme="3"/>
      <name val="Helvetica Neue"/>
      <family val="2"/>
    </font>
    <font>
      <b/>
      <sz val="13"/>
      <color theme="3"/>
      <name val="Helvetica Neue"/>
      <family val="2"/>
    </font>
    <font>
      <b/>
      <sz val="11"/>
      <color theme="3"/>
      <name val="Helvetica Neue"/>
      <family val="2"/>
    </font>
    <font>
      <sz val="11"/>
      <color rgb="FF3F3F76"/>
      <name val="Helvetica Neue"/>
      <family val="2"/>
    </font>
    <font>
      <sz val="11"/>
      <color rgb="FFFA7D00"/>
      <name val="Helvetica Neue"/>
      <family val="2"/>
    </font>
    <font>
      <sz val="11"/>
      <color rgb="FF9C5700"/>
      <name val="Helvetica Neue"/>
      <family val="2"/>
    </font>
    <font>
      <b/>
      <sz val="11"/>
      <color rgb="FF3F3F3F"/>
      <name val="Helvetica Neue"/>
      <family val="2"/>
    </font>
    <font>
      <sz val="18"/>
      <color theme="3"/>
      <name val="Helvetica Neue"/>
      <family val="2"/>
    </font>
    <font>
      <b/>
      <sz val="11"/>
      <color theme="1"/>
      <name val="Helvetica Neue"/>
      <family val="2"/>
    </font>
    <font>
      <sz val="11"/>
      <color rgb="FFFF0000"/>
      <name val="Helvetica Neue"/>
      <family val="2"/>
    </font>
    <font>
      <i/>
      <sz val="9"/>
      <color rgb="FFFF0000"/>
      <name val="Calibri"/>
      <family val="2"/>
    </font>
    <font>
      <sz val="8"/>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2"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thin"/>
      <top style="thin"/>
      <bottom style="thin"/>
    </border>
    <border>
      <left/>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style="thin"/>
    </border>
    <border>
      <left style="medium"/>
      <right/>
      <top/>
      <bottom style="thin"/>
    </border>
    <border>
      <left/>
      <right/>
      <top/>
      <bottom style="thin"/>
    </border>
    <border>
      <left/>
      <right/>
      <top style="medium"/>
      <bottom style="medium"/>
    </border>
    <border>
      <left/>
      <right style="medium"/>
      <top style="medium"/>
      <bottom style="medium"/>
    </border>
    <border>
      <left style="medium"/>
      <right/>
      <top style="medium"/>
      <bottom style="medium"/>
    </border>
    <border>
      <left style="thin"/>
      <right style="thin"/>
      <top style="medium"/>
      <bottom/>
    </border>
    <border>
      <left style="thin"/>
      <right/>
      <top style="thin"/>
      <bottom style="thin"/>
    </border>
    <border>
      <left/>
      <right/>
      <top style="thin"/>
      <bottom style="thin"/>
    </border>
    <border>
      <left style="medium"/>
      <right style="medium"/>
      <top style="medium"/>
      <bottom style="medium"/>
    </border>
    <border>
      <left/>
      <right style="medium"/>
      <top style="medium"/>
      <bottom/>
    </border>
    <border>
      <left/>
      <right style="medium"/>
      <top/>
      <bottom/>
    </border>
    <border>
      <left/>
      <right style="medium"/>
      <top/>
      <bottom style="medium"/>
    </border>
    <border>
      <left/>
      <right style="medium"/>
      <top style="thin"/>
      <bottom style="thin"/>
    </border>
    <border>
      <left/>
      <right style="medium"/>
      <top/>
      <bottom style="thin"/>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6">
    <xf numFmtId="0" fontId="0" fillId="0" borderId="0" xfId="0" applyFont="1" applyAlignment="1">
      <alignment/>
    </xf>
    <xf numFmtId="0" fontId="0" fillId="33" borderId="0" xfId="0" applyFont="1" applyFill="1" applyBorder="1" applyAlignment="1">
      <alignment/>
    </xf>
    <xf numFmtId="49" fontId="0" fillId="33" borderId="0" xfId="0" applyNumberFormat="1" applyFont="1" applyFill="1" applyBorder="1" applyAlignment="1">
      <alignment/>
    </xf>
    <xf numFmtId="0" fontId="0" fillId="33" borderId="10" xfId="0" applyFont="1" applyFill="1" applyBorder="1" applyAlignment="1">
      <alignment/>
    </xf>
    <xf numFmtId="0" fontId="0" fillId="0" borderId="0" xfId="0" applyFont="1" applyFill="1" applyBorder="1" applyAlignment="1">
      <alignment/>
    </xf>
    <xf numFmtId="0" fontId="7" fillId="33" borderId="0" xfId="0" applyFont="1" applyFill="1" applyBorder="1" applyAlignment="1">
      <alignment/>
    </xf>
    <xf numFmtId="0" fontId="0" fillId="0" borderId="0" xfId="0" applyNumberFormat="1" applyFont="1" applyBorder="1" applyAlignment="1">
      <alignment/>
    </xf>
    <xf numFmtId="164" fontId="0" fillId="13" borderId="10" xfId="44" applyNumberFormat="1" applyFont="1" applyFill="1" applyBorder="1" applyAlignment="1">
      <alignment/>
    </xf>
    <xf numFmtId="0" fontId="7" fillId="0" borderId="0" xfId="0" applyFont="1" applyBorder="1" applyAlignment="1">
      <alignment/>
    </xf>
    <xf numFmtId="0" fontId="0" fillId="0" borderId="0" xfId="0" applyFont="1" applyBorder="1" applyAlignment="1">
      <alignment/>
    </xf>
    <xf numFmtId="0" fontId="2" fillId="0" borderId="0" xfId="0" applyFont="1" applyBorder="1" applyAlignment="1">
      <alignment/>
    </xf>
    <xf numFmtId="49" fontId="0" fillId="13" borderId="0" xfId="0" applyNumberFormat="1" applyFont="1" applyFill="1" applyBorder="1" applyAlignment="1">
      <alignment/>
    </xf>
    <xf numFmtId="49" fontId="0" fillId="0" borderId="0" xfId="0" applyNumberFormat="1" applyFont="1" applyBorder="1" applyAlignment="1">
      <alignment/>
    </xf>
    <xf numFmtId="49" fontId="0" fillId="0" borderId="0" xfId="0" applyNumberFormat="1" applyFont="1" applyBorder="1" applyAlignment="1">
      <alignment/>
    </xf>
    <xf numFmtId="0" fontId="9" fillId="0" borderId="0" xfId="0" applyNumberFormat="1" applyFont="1" applyBorder="1" applyAlignment="1" quotePrefix="1">
      <alignment/>
    </xf>
    <xf numFmtId="49" fontId="5" fillId="19" borderId="11" xfId="0" applyNumberFormat="1" applyFont="1" applyFill="1" applyBorder="1" applyAlignment="1">
      <alignment/>
    </xf>
    <xf numFmtId="0" fontId="5" fillId="19" borderId="12" xfId="0" applyFont="1" applyFill="1" applyBorder="1" applyAlignment="1">
      <alignment/>
    </xf>
    <xf numFmtId="0" fontId="0" fillId="0" borderId="13" xfId="0" applyFont="1" applyBorder="1" applyAlignment="1">
      <alignment/>
    </xf>
    <xf numFmtId="0" fontId="0" fillId="33" borderId="14" xfId="0" applyFont="1" applyFill="1" applyBorder="1" applyAlignment="1">
      <alignment/>
    </xf>
    <xf numFmtId="49" fontId="0" fillId="33" borderId="15" xfId="0" applyNumberFormat="1" applyFont="1" applyFill="1" applyBorder="1" applyAlignment="1">
      <alignment/>
    </xf>
    <xf numFmtId="164" fontId="0" fillId="33" borderId="10" xfId="44" applyNumberFormat="1" applyFont="1" applyFill="1" applyBorder="1" applyAlignment="1">
      <alignment/>
    </xf>
    <xf numFmtId="0" fontId="0" fillId="0" borderId="0" xfId="0" applyNumberFormat="1" applyFont="1" applyFill="1" applyBorder="1" applyAlignment="1">
      <alignment/>
    </xf>
    <xf numFmtId="0" fontId="2" fillId="0" borderId="0" xfId="0" applyFont="1" applyFill="1" applyBorder="1" applyAlignment="1">
      <alignment/>
    </xf>
    <xf numFmtId="49" fontId="3" fillId="0" borderId="0" xfId="0" applyNumberFormat="1" applyFont="1" applyFill="1" applyBorder="1" applyAlignment="1">
      <alignment horizontal="center"/>
    </xf>
    <xf numFmtId="0" fontId="0" fillId="0" borderId="0" xfId="0" applyFont="1" applyFill="1" applyBorder="1" applyAlignment="1">
      <alignment horizontal="center"/>
    </xf>
    <xf numFmtId="49" fontId="11" fillId="0" borderId="0" xfId="0" applyNumberFormat="1" applyFont="1" applyFill="1" applyBorder="1" applyAlignment="1">
      <alignment/>
    </xf>
    <xf numFmtId="49" fontId="0" fillId="13" borderId="16" xfId="0" applyNumberFormat="1" applyFont="1" applyFill="1" applyBorder="1" applyAlignment="1">
      <alignment/>
    </xf>
    <xf numFmtId="49" fontId="0" fillId="0" borderId="16" xfId="0" applyNumberFormat="1" applyFont="1" applyBorder="1" applyAlignment="1">
      <alignment/>
    </xf>
    <xf numFmtId="49" fontId="0" fillId="33" borderId="16" xfId="0" applyNumberFormat="1" applyFont="1" applyFill="1" applyBorder="1" applyAlignment="1">
      <alignment/>
    </xf>
    <xf numFmtId="49" fontId="0" fillId="33" borderId="17" xfId="0" applyNumberFormat="1" applyFont="1" applyFill="1" applyBorder="1" applyAlignment="1">
      <alignment/>
    </xf>
    <xf numFmtId="49" fontId="0" fillId="0" borderId="16" xfId="0" applyNumberFormat="1" applyFont="1" applyBorder="1" applyAlignment="1">
      <alignment/>
    </xf>
    <xf numFmtId="0" fontId="0" fillId="13" borderId="13" xfId="0" applyFont="1" applyFill="1" applyBorder="1" applyAlignment="1">
      <alignment/>
    </xf>
    <xf numFmtId="164" fontId="5" fillId="19" borderId="18" xfId="44" applyNumberFormat="1" applyFont="1" applyFill="1" applyBorder="1" applyAlignment="1">
      <alignment/>
    </xf>
    <xf numFmtId="164" fontId="10" fillId="19" borderId="18" xfId="44" applyNumberFormat="1" applyFont="1" applyFill="1" applyBorder="1" applyAlignment="1">
      <alignment/>
    </xf>
    <xf numFmtId="164" fontId="5" fillId="19" borderId="19" xfId="44" applyNumberFormat="1" applyFont="1" applyFill="1" applyBorder="1" applyAlignment="1">
      <alignment/>
    </xf>
    <xf numFmtId="164" fontId="0" fillId="13" borderId="20" xfId="44" applyNumberFormat="1" applyFont="1" applyFill="1" applyBorder="1" applyAlignment="1">
      <alignment/>
    </xf>
    <xf numFmtId="164" fontId="0" fillId="7" borderId="20" xfId="44" applyNumberFormat="1" applyFont="1" applyFill="1" applyBorder="1" applyAlignment="1">
      <alignment/>
    </xf>
    <xf numFmtId="0" fontId="0" fillId="7" borderId="20" xfId="0" applyFont="1" applyFill="1" applyBorder="1" applyAlignment="1">
      <alignment/>
    </xf>
    <xf numFmtId="164" fontId="0" fillId="33" borderId="21" xfId="44" applyNumberFormat="1" applyFont="1" applyFill="1" applyBorder="1" applyAlignment="1">
      <alignment/>
    </xf>
    <xf numFmtId="164" fontId="0" fillId="7" borderId="22" xfId="44" applyNumberFormat="1" applyFont="1" applyFill="1" applyBorder="1" applyAlignment="1">
      <alignment/>
    </xf>
    <xf numFmtId="0" fontId="0" fillId="13" borderId="23" xfId="0" applyFont="1" applyFill="1" applyBorder="1" applyAlignment="1">
      <alignment/>
    </xf>
    <xf numFmtId="0" fontId="0" fillId="0" borderId="23" xfId="0" applyFont="1" applyBorder="1" applyAlignment="1">
      <alignment/>
    </xf>
    <xf numFmtId="0" fontId="0" fillId="33" borderId="23" xfId="0" applyFont="1" applyFill="1" applyBorder="1" applyAlignment="1">
      <alignment/>
    </xf>
    <xf numFmtId="0" fontId="0" fillId="33" borderId="24" xfId="0" applyFont="1" applyFill="1" applyBorder="1" applyAlignment="1">
      <alignment/>
    </xf>
    <xf numFmtId="0" fontId="0" fillId="0" borderId="0" xfId="0" applyFont="1" applyBorder="1" applyAlignment="1">
      <alignment/>
    </xf>
    <xf numFmtId="0" fontId="6" fillId="0" borderId="0" xfId="0" applyFont="1" applyBorder="1" applyAlignment="1">
      <alignment/>
    </xf>
    <xf numFmtId="0" fontId="0" fillId="0" borderId="0" xfId="0" applyNumberFormat="1" applyFont="1" applyBorder="1" applyAlignment="1">
      <alignment/>
    </xf>
    <xf numFmtId="0" fontId="0" fillId="0" borderId="25" xfId="0" applyNumberFormat="1" applyFont="1" applyBorder="1" applyAlignment="1">
      <alignment/>
    </xf>
    <xf numFmtId="0" fontId="0" fillId="0" borderId="25" xfId="0" applyNumberFormat="1" applyFont="1" applyBorder="1" applyAlignment="1">
      <alignment/>
    </xf>
    <xf numFmtId="0" fontId="0" fillId="0" borderId="0" xfId="0" applyNumberFormat="1" applyFont="1" applyBorder="1" applyAlignment="1">
      <alignment horizontal="right" vertical="center"/>
    </xf>
    <xf numFmtId="44" fontId="5" fillId="15" borderId="11" xfId="44" applyFont="1" applyFill="1" applyBorder="1" applyAlignment="1">
      <alignment/>
    </xf>
    <xf numFmtId="164" fontId="5" fillId="15" borderId="18" xfId="44" applyNumberFormat="1" applyFont="1" applyFill="1" applyBorder="1" applyAlignment="1">
      <alignment/>
    </xf>
    <xf numFmtId="164" fontId="5" fillId="15" borderId="19" xfId="44" applyNumberFormat="1" applyFont="1" applyFill="1" applyBorder="1" applyAlignment="1">
      <alignment/>
    </xf>
    <xf numFmtId="164" fontId="0" fillId="3" borderId="20" xfId="44" applyNumberFormat="1" applyFont="1" applyFill="1" applyBorder="1" applyAlignment="1">
      <alignment/>
    </xf>
    <xf numFmtId="0" fontId="0" fillId="0" borderId="14" xfId="0" applyFont="1" applyBorder="1" applyAlignment="1">
      <alignment/>
    </xf>
    <xf numFmtId="0" fontId="0" fillId="33" borderId="21" xfId="0" applyFont="1" applyFill="1" applyBorder="1" applyAlignment="1">
      <alignment/>
    </xf>
    <xf numFmtId="164" fontId="0" fillId="3" borderId="22" xfId="44" applyNumberFormat="1" applyFont="1" applyFill="1" applyBorder="1" applyAlignment="1">
      <alignment/>
    </xf>
    <xf numFmtId="49" fontId="5" fillId="2" borderId="26" xfId="0" applyNumberFormat="1" applyFont="1" applyFill="1" applyBorder="1" applyAlignment="1">
      <alignment/>
    </xf>
    <xf numFmtId="164" fontId="5" fillId="2" borderId="26" xfId="0" applyNumberFormat="1" applyFont="1" applyFill="1" applyBorder="1" applyAlignment="1">
      <alignment/>
    </xf>
    <xf numFmtId="164" fontId="5" fillId="2" borderId="27" xfId="0" applyNumberFormat="1" applyFont="1" applyFill="1" applyBorder="1" applyAlignment="1">
      <alignment/>
    </xf>
    <xf numFmtId="0" fontId="0" fillId="2" borderId="28" xfId="0" applyNumberFormat="1" applyFont="1" applyFill="1" applyBorder="1" applyAlignment="1">
      <alignment/>
    </xf>
    <xf numFmtId="44" fontId="0" fillId="15" borderId="29" xfId="44" applyFont="1" applyFill="1" applyBorder="1" applyAlignment="1">
      <alignment/>
    </xf>
    <xf numFmtId="49" fontId="0" fillId="0" borderId="16" xfId="0" applyNumberFormat="1" applyFont="1" applyBorder="1" applyAlignment="1">
      <alignment wrapText="1"/>
    </xf>
    <xf numFmtId="49" fontId="0" fillId="0" borderId="15" xfId="0" applyNumberFormat="1" applyFont="1" applyBorder="1" applyAlignment="1">
      <alignment/>
    </xf>
    <xf numFmtId="164" fontId="0" fillId="34" borderId="10" xfId="44" applyNumberFormat="1" applyFont="1" applyFill="1" applyBorder="1" applyAlignment="1">
      <alignment/>
    </xf>
    <xf numFmtId="49" fontId="3"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164" fontId="0" fillId="0" borderId="10" xfId="44" applyNumberFormat="1" applyFont="1" applyFill="1" applyBorder="1" applyAlignment="1">
      <alignment/>
    </xf>
    <xf numFmtId="164" fontId="0" fillId="34" borderId="21" xfId="44" applyNumberFormat="1" applyFont="1" applyFill="1" applyBorder="1" applyAlignment="1">
      <alignment/>
    </xf>
    <xf numFmtId="0" fontId="0" fillId="0" borderId="0" xfId="0" applyFont="1" applyFill="1" applyBorder="1" applyAlignment="1">
      <alignment/>
    </xf>
    <xf numFmtId="49" fontId="0" fillId="33" borderId="16" xfId="0" applyNumberFormat="1" applyFont="1" applyFill="1" applyBorder="1" applyAlignment="1">
      <alignment/>
    </xf>
    <xf numFmtId="164" fontId="0" fillId="35" borderId="10" xfId="44" applyNumberFormat="1" applyFont="1" applyFill="1" applyBorder="1" applyAlignment="1">
      <alignment/>
    </xf>
    <xf numFmtId="0" fontId="0" fillId="0" borderId="30" xfId="0" applyNumberFormat="1" applyFont="1" applyBorder="1" applyAlignment="1">
      <alignment/>
    </xf>
    <xf numFmtId="164" fontId="0" fillId="0" borderId="31" xfId="0" applyNumberFormat="1" applyFont="1" applyBorder="1" applyAlignment="1">
      <alignment/>
    </xf>
    <xf numFmtId="164" fontId="0" fillId="0" borderId="16" xfId="0" applyNumberFormat="1" applyFont="1" applyBorder="1" applyAlignment="1">
      <alignment/>
    </xf>
    <xf numFmtId="164" fontId="5" fillId="33" borderId="0" xfId="0" applyNumberFormat="1" applyFont="1" applyFill="1" applyBorder="1" applyAlignment="1">
      <alignment/>
    </xf>
    <xf numFmtId="0" fontId="5" fillId="0" borderId="0" xfId="0" applyNumberFormat="1" applyFont="1" applyBorder="1" applyAlignment="1">
      <alignment/>
    </xf>
    <xf numFmtId="0" fontId="5" fillId="0" borderId="0" xfId="0" applyFont="1" applyBorder="1" applyAlignment="1">
      <alignment/>
    </xf>
    <xf numFmtId="164" fontId="5" fillId="0" borderId="0" xfId="44" applyNumberFormat="1" applyFont="1" applyBorder="1" applyAlignment="1">
      <alignment/>
    </xf>
    <xf numFmtId="164" fontId="5" fillId="0" borderId="0" xfId="0" applyNumberFormat="1" applyFont="1" applyBorder="1" applyAlignment="1">
      <alignment/>
    </xf>
    <xf numFmtId="164" fontId="0" fillId="0" borderId="32" xfId="44" applyNumberFormat="1" applyFont="1" applyFill="1" applyBorder="1" applyAlignment="1">
      <alignment horizontal="center"/>
    </xf>
    <xf numFmtId="166" fontId="0" fillId="0" borderId="0" xfId="42" applyNumberFormat="1" applyFont="1" applyBorder="1" applyAlignment="1">
      <alignment/>
    </xf>
    <xf numFmtId="166" fontId="0" fillId="0" borderId="0" xfId="42" applyNumberFormat="1" applyFont="1" applyBorder="1" applyAlignment="1">
      <alignment/>
    </xf>
    <xf numFmtId="164" fontId="0" fillId="19" borderId="31" xfId="44" applyNumberFormat="1"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33" xfId="0" applyFont="1" applyBorder="1" applyAlignment="1">
      <alignment/>
    </xf>
    <xf numFmtId="0" fontId="0" fillId="0" borderId="34" xfId="0" applyFont="1" applyBorder="1" applyAlignment="1">
      <alignment/>
    </xf>
    <xf numFmtId="164" fontId="0" fillId="0" borderId="0" xfId="44" applyNumberFormat="1" applyFont="1" applyBorder="1" applyAlignment="1">
      <alignment/>
    </xf>
    <xf numFmtId="0" fontId="0" fillId="19" borderId="23" xfId="0" applyFont="1" applyFill="1" applyBorder="1" applyAlignment="1">
      <alignment/>
    </xf>
    <xf numFmtId="0" fontId="0" fillId="15" borderId="23" xfId="0" applyFont="1" applyFill="1" applyBorder="1" applyAlignment="1">
      <alignment/>
    </xf>
    <xf numFmtId="165" fontId="0" fillId="0" borderId="0" xfId="0" applyNumberFormat="1" applyFont="1" applyBorder="1" applyAlignment="1">
      <alignment/>
    </xf>
    <xf numFmtId="0" fontId="0" fillId="0" borderId="15" xfId="0" applyFont="1" applyBorder="1" applyAlignment="1">
      <alignment/>
    </xf>
    <xf numFmtId="0" fontId="0" fillId="0" borderId="35" xfId="0" applyFont="1" applyBorder="1" applyAlignment="1">
      <alignment/>
    </xf>
    <xf numFmtId="164" fontId="0" fillId="15" borderId="31" xfId="44" applyNumberFormat="1" applyFont="1" applyFill="1" applyBorder="1" applyAlignment="1">
      <alignment/>
    </xf>
    <xf numFmtId="0" fontId="0" fillId="8" borderId="23" xfId="0" applyFont="1" applyFill="1" applyBorder="1" applyAlignment="1">
      <alignment/>
    </xf>
    <xf numFmtId="0" fontId="0" fillId="8" borderId="31" xfId="0" applyFont="1" applyFill="1" applyBorder="1" applyAlignment="1">
      <alignment/>
    </xf>
    <xf numFmtId="0" fontId="0" fillId="0" borderId="24" xfId="0" applyFont="1" applyBorder="1" applyAlignment="1">
      <alignment/>
    </xf>
    <xf numFmtId="0" fontId="0" fillId="0" borderId="25" xfId="0" applyFont="1" applyBorder="1" applyAlignment="1">
      <alignment horizontal="center" wrapText="1"/>
    </xf>
    <xf numFmtId="164" fontId="0" fillId="0" borderId="34" xfId="44" applyNumberFormat="1" applyFont="1" applyBorder="1" applyAlignment="1">
      <alignment/>
    </xf>
    <xf numFmtId="164" fontId="0" fillId="15" borderId="36" xfId="44" applyNumberFormat="1" applyFont="1" applyFill="1" applyBorder="1" applyAlignment="1">
      <alignment/>
    </xf>
    <xf numFmtId="164" fontId="0" fillId="8" borderId="31" xfId="0" applyNumberFormat="1" applyFont="1" applyFill="1" applyBorder="1" applyAlignment="1">
      <alignment/>
    </xf>
    <xf numFmtId="0" fontId="0" fillId="0" borderId="25" xfId="0" applyFont="1" applyBorder="1" applyAlignment="1" quotePrefix="1">
      <alignment/>
    </xf>
    <xf numFmtId="164" fontId="0" fillId="8" borderId="36" xfId="0" applyNumberFormat="1" applyFont="1" applyFill="1" applyBorder="1" applyAlignment="1">
      <alignment/>
    </xf>
    <xf numFmtId="49" fontId="3" fillId="0" borderId="0" xfId="0" applyNumberFormat="1" applyFont="1" applyFill="1" applyBorder="1" applyAlignment="1">
      <alignment horizontal="left"/>
    </xf>
    <xf numFmtId="164" fontId="0" fillId="0" borderId="0" xfId="44" applyNumberFormat="1" applyFont="1" applyFill="1" applyBorder="1" applyAlignment="1">
      <alignment horizontal="center"/>
    </xf>
    <xf numFmtId="0" fontId="0" fillId="36" borderId="10" xfId="0" applyFont="1" applyFill="1" applyBorder="1" applyAlignment="1">
      <alignment/>
    </xf>
    <xf numFmtId="0" fontId="50" fillId="0" borderId="0" xfId="0" applyFont="1" applyFill="1" applyBorder="1" applyAlignment="1" quotePrefix="1">
      <alignment vertical="center"/>
    </xf>
    <xf numFmtId="49" fontId="14" fillId="0" borderId="0" xfId="0" applyNumberFormat="1" applyFont="1" applyFill="1" applyBorder="1" applyAlignment="1">
      <alignment/>
    </xf>
    <xf numFmtId="164" fontId="0" fillId="0" borderId="31" xfId="0" applyNumberFormat="1" applyFont="1" applyFill="1" applyBorder="1" applyAlignment="1">
      <alignment/>
    </xf>
    <xf numFmtId="0" fontId="7" fillId="0" borderId="0" xfId="0" applyFont="1" applyFill="1" applyBorder="1" applyAlignment="1">
      <alignment/>
    </xf>
    <xf numFmtId="15" fontId="0" fillId="0" borderId="0" xfId="0" applyNumberFormat="1" applyFont="1" applyBorder="1" applyAlignment="1" quotePrefix="1">
      <alignment/>
    </xf>
    <xf numFmtId="164" fontId="0" fillId="0" borderId="0" xfId="0" applyNumberFormat="1" applyFont="1" applyFill="1" applyBorder="1" applyAlignment="1">
      <alignment/>
    </xf>
    <xf numFmtId="0" fontId="5" fillId="0" borderId="0" xfId="0" applyNumberFormat="1" applyFont="1" applyFill="1" applyBorder="1" applyAlignment="1">
      <alignment/>
    </xf>
    <xf numFmtId="166" fontId="0" fillId="0" borderId="0" xfId="42" applyNumberFormat="1" applyFont="1" applyFill="1" applyBorder="1" applyAlignment="1">
      <alignment/>
    </xf>
    <xf numFmtId="165" fontId="0" fillId="0" borderId="0" xfId="42" applyNumberFormat="1" applyFont="1" applyBorder="1" applyAlignment="1">
      <alignment/>
    </xf>
    <xf numFmtId="0" fontId="51" fillId="0" borderId="0" xfId="0" applyFont="1" applyBorder="1" applyAlignment="1">
      <alignment/>
    </xf>
    <xf numFmtId="164" fontId="0" fillId="15" borderId="31" xfId="44" applyNumberFormat="1" applyFont="1" applyFill="1" applyBorder="1" applyAlignment="1">
      <alignment/>
    </xf>
    <xf numFmtId="164" fontId="0" fillId="8" borderId="31" xfId="44" applyNumberFormat="1" applyFont="1" applyFill="1" applyBorder="1" applyAlignment="1">
      <alignment/>
    </xf>
    <xf numFmtId="0" fontId="0" fillId="0" borderId="37" xfId="0" applyFont="1" applyBorder="1" applyAlignment="1">
      <alignment horizontal="center" wrapText="1"/>
    </xf>
    <xf numFmtId="0" fontId="0" fillId="0" borderId="25" xfId="0" applyFont="1" applyBorder="1" applyAlignment="1">
      <alignment horizontal="center" wrapText="1"/>
    </xf>
    <xf numFmtId="0" fontId="0" fillId="0" borderId="13" xfId="0" applyFont="1" applyBorder="1" applyAlignment="1">
      <alignment/>
    </xf>
    <xf numFmtId="0" fontId="0" fillId="0" borderId="0" xfId="0" applyNumberFormat="1" applyFont="1" applyBorder="1" applyAlignment="1" quotePrefix="1">
      <alignment/>
    </xf>
    <xf numFmtId="49" fontId="7"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AAAAAA"/>
      <rgbColor rgb="00A5A5A5"/>
      <rgbColor rgb="00BDC0BF"/>
      <rgbColor rgb="00FF0000"/>
      <rgbColor rgb="00ED7D31"/>
      <rgbColor rgb="00DDDDDD"/>
      <rgbColor rgb="003F3F3F"/>
      <rgbColor rgb="00FFFF00"/>
      <rgbColor rgb="00C5DEB5"/>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21</xdr:row>
      <xdr:rowOff>152400</xdr:rowOff>
    </xdr:from>
    <xdr:to>
      <xdr:col>7</xdr:col>
      <xdr:colOff>523875</xdr:colOff>
      <xdr:row>25</xdr:row>
      <xdr:rowOff>47625</xdr:rowOff>
    </xdr:to>
    <xdr:pic>
      <xdr:nvPicPr>
        <xdr:cNvPr id="1" name="Picture 1"/>
        <xdr:cNvPicPr preferRelativeResize="1">
          <a:picLocks noChangeAspect="1"/>
        </xdr:cNvPicPr>
      </xdr:nvPicPr>
      <xdr:blipFill>
        <a:blip r:embed="rId1"/>
        <a:stretch>
          <a:fillRect/>
        </a:stretch>
      </xdr:blipFill>
      <xdr:spPr>
        <a:xfrm>
          <a:off x="4705350" y="4314825"/>
          <a:ext cx="12382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0</xdr:row>
      <xdr:rowOff>0</xdr:rowOff>
    </xdr:from>
    <xdr:to>
      <xdr:col>14</xdr:col>
      <xdr:colOff>266700</xdr:colOff>
      <xdr:row>1</xdr:row>
      <xdr:rowOff>85725</xdr:rowOff>
    </xdr:to>
    <xdr:pic>
      <xdr:nvPicPr>
        <xdr:cNvPr id="1" name="Picture 2"/>
        <xdr:cNvPicPr preferRelativeResize="1">
          <a:picLocks noChangeAspect="1"/>
        </xdr:cNvPicPr>
      </xdr:nvPicPr>
      <xdr:blipFill>
        <a:blip r:embed="rId1"/>
        <a:stretch>
          <a:fillRect/>
        </a:stretch>
      </xdr:blipFill>
      <xdr:spPr>
        <a:xfrm>
          <a:off x="13373100" y="0"/>
          <a:ext cx="12192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0</xdr:row>
      <xdr:rowOff>0</xdr:rowOff>
    </xdr:from>
    <xdr:to>
      <xdr:col>15</xdr:col>
      <xdr:colOff>304800</xdr:colOff>
      <xdr:row>1</xdr:row>
      <xdr:rowOff>95250</xdr:rowOff>
    </xdr:to>
    <xdr:pic>
      <xdr:nvPicPr>
        <xdr:cNvPr id="1" name="Picture 1"/>
        <xdr:cNvPicPr preferRelativeResize="1">
          <a:picLocks noChangeAspect="1"/>
        </xdr:cNvPicPr>
      </xdr:nvPicPr>
      <xdr:blipFill>
        <a:blip r:embed="rId1"/>
        <a:stretch>
          <a:fillRect/>
        </a:stretch>
      </xdr:blipFill>
      <xdr:spPr>
        <a:xfrm>
          <a:off x="14458950" y="0"/>
          <a:ext cx="11525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142875</xdr:colOff>
      <xdr:row>0</xdr:row>
      <xdr:rowOff>123825</xdr:rowOff>
    </xdr:from>
    <xdr:to>
      <xdr:col>26</xdr:col>
      <xdr:colOff>190500</xdr:colOff>
      <xdr:row>2</xdr:row>
      <xdr:rowOff>28575</xdr:rowOff>
    </xdr:to>
    <xdr:pic>
      <xdr:nvPicPr>
        <xdr:cNvPr id="1" name="Picture 1"/>
        <xdr:cNvPicPr preferRelativeResize="1">
          <a:picLocks noChangeAspect="1"/>
        </xdr:cNvPicPr>
      </xdr:nvPicPr>
      <xdr:blipFill>
        <a:blip r:embed="rId1"/>
        <a:stretch>
          <a:fillRect/>
        </a:stretch>
      </xdr:blipFill>
      <xdr:spPr>
        <a:xfrm>
          <a:off x="25422225" y="123825"/>
          <a:ext cx="10477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200025</xdr:colOff>
      <xdr:row>0</xdr:row>
      <xdr:rowOff>57150</xdr:rowOff>
    </xdr:from>
    <xdr:to>
      <xdr:col>26</xdr:col>
      <xdr:colOff>438150</xdr:colOff>
      <xdr:row>2</xdr:row>
      <xdr:rowOff>9525</xdr:rowOff>
    </xdr:to>
    <xdr:pic>
      <xdr:nvPicPr>
        <xdr:cNvPr id="1" name="Picture 1"/>
        <xdr:cNvPicPr preferRelativeResize="1">
          <a:picLocks noChangeAspect="1"/>
        </xdr:cNvPicPr>
      </xdr:nvPicPr>
      <xdr:blipFill>
        <a:blip r:embed="rId1"/>
        <a:stretch>
          <a:fillRect/>
        </a:stretch>
      </xdr:blipFill>
      <xdr:spPr>
        <a:xfrm>
          <a:off x="25717500" y="57150"/>
          <a:ext cx="1238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Them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H24"/>
  <sheetViews>
    <sheetView tabSelected="1" zoomScalePageLayoutView="0" workbookViewId="0" topLeftCell="A1">
      <selection activeCell="J7" sqref="J7"/>
    </sheetView>
  </sheetViews>
  <sheetFormatPr defaultColWidth="9.140625" defaultRowHeight="15"/>
  <cols>
    <col min="2" max="2" width="20.00390625" style="0" customWidth="1"/>
    <col min="3" max="3" width="11.57421875" style="0" customWidth="1"/>
    <col min="4" max="4" width="13.421875" style="0" customWidth="1"/>
    <col min="5" max="5" width="2.57421875" style="0" customWidth="1"/>
    <col min="6" max="6" width="11.7109375" style="0" customWidth="1"/>
    <col min="7" max="7" width="12.8515625" style="0" customWidth="1"/>
    <col min="8" max="8" width="14.57421875" style="0" customWidth="1"/>
  </cols>
  <sheetData>
    <row r="1" spans="2:8" ht="14.25">
      <c r="B1" s="85" t="s">
        <v>64</v>
      </c>
      <c r="C1" s="86"/>
      <c r="D1" s="86"/>
      <c r="E1" s="86"/>
      <c r="F1" s="86"/>
      <c r="G1" s="86"/>
      <c r="H1" s="87"/>
    </row>
    <row r="2" spans="2:8" ht="14.25">
      <c r="B2" s="17"/>
      <c r="C2" s="9"/>
      <c r="D2" s="9"/>
      <c r="E2" s="9"/>
      <c r="F2" s="9"/>
      <c r="G2" s="9"/>
      <c r="H2" s="88"/>
    </row>
    <row r="3" spans="2:8" ht="14.25">
      <c r="B3" s="17" t="s">
        <v>65</v>
      </c>
      <c r="C3" s="84" t="s">
        <v>79</v>
      </c>
      <c r="D3" s="9"/>
      <c r="E3" s="9"/>
      <c r="F3" s="44" t="s">
        <v>80</v>
      </c>
      <c r="G3" s="103" t="s">
        <v>105</v>
      </c>
      <c r="H3" s="88"/>
    </row>
    <row r="4" spans="2:8" ht="14.25">
      <c r="B4" s="17"/>
      <c r="C4" s="9"/>
      <c r="D4" s="9"/>
      <c r="E4" s="9"/>
      <c r="F4" s="44" t="s">
        <v>81</v>
      </c>
      <c r="G4" s="112" t="s">
        <v>107</v>
      </c>
      <c r="H4" s="88" t="s">
        <v>106</v>
      </c>
    </row>
    <row r="5" spans="2:8" ht="14.25">
      <c r="B5" s="17"/>
      <c r="C5" s="9"/>
      <c r="D5" s="9"/>
      <c r="E5" s="9"/>
      <c r="F5" s="9"/>
      <c r="G5" s="117" t="s">
        <v>77</v>
      </c>
      <c r="H5" s="88"/>
    </row>
    <row r="6" spans="2:8" ht="42" customHeight="1">
      <c r="B6" s="98"/>
      <c r="C6" s="121" t="s">
        <v>117</v>
      </c>
      <c r="D6" s="99" t="s">
        <v>71</v>
      </c>
      <c r="E6" s="99"/>
      <c r="F6" s="99" t="s">
        <v>72</v>
      </c>
      <c r="G6" s="99" t="s">
        <v>75</v>
      </c>
      <c r="H6" s="120" t="s">
        <v>116</v>
      </c>
    </row>
    <row r="7" spans="2:8" ht="14.25">
      <c r="B7" s="17" t="s">
        <v>67</v>
      </c>
      <c r="C7" s="89">
        <f>'Last Year Actual'!O7</f>
        <v>1650008</v>
      </c>
      <c r="D7" s="89">
        <f>'Current Year Budget'!C7</f>
        <v>1230000</v>
      </c>
      <c r="E7" s="89"/>
      <c r="F7" s="89">
        <f>'Actuals and Projection'!C8</f>
        <v>50250</v>
      </c>
      <c r="G7" s="89">
        <f>SUM('Actuals and Projection'!C8:N8)</f>
        <v>422900</v>
      </c>
      <c r="H7" s="100">
        <f>'Actuals and Projection'!AA8</f>
        <v>918400</v>
      </c>
    </row>
    <row r="8" spans="2:8" ht="14.25">
      <c r="B8" s="17" t="s">
        <v>66</v>
      </c>
      <c r="C8" s="89">
        <f>'Last Year Actual'!C17</f>
        <v>7</v>
      </c>
      <c r="D8" s="89">
        <f>'Current Year Budget'!C17</f>
        <v>200500</v>
      </c>
      <c r="E8" s="89"/>
      <c r="F8" s="89">
        <f>'Actuals and Projection'!C18</f>
        <v>2525</v>
      </c>
      <c r="G8" s="89">
        <f>SUM('Actuals and Projection'!C18:N18)</f>
        <v>66800</v>
      </c>
      <c r="H8" s="100">
        <f>'Actuals and Projection'!AA18</f>
        <v>137100</v>
      </c>
    </row>
    <row r="9" spans="2:8" ht="14.25">
      <c r="B9" s="90" t="s">
        <v>68</v>
      </c>
      <c r="C9" s="83">
        <f>SUM(C7:C8)</f>
        <v>1650015</v>
      </c>
      <c r="D9" s="83">
        <f>SUM(D7:D8)</f>
        <v>1430500</v>
      </c>
      <c r="E9" s="83"/>
      <c r="F9" s="83">
        <f>SUM(F7:F8)</f>
        <v>52775</v>
      </c>
      <c r="G9" s="83">
        <f>SUM(G7:G8)</f>
        <v>489700</v>
      </c>
      <c r="H9" s="83">
        <f>SUM(H7:H8)</f>
        <v>1055500</v>
      </c>
    </row>
    <row r="10" spans="2:8" ht="14.25">
      <c r="B10" s="17"/>
      <c r="C10" s="89"/>
      <c r="D10" s="89"/>
      <c r="E10" s="89"/>
      <c r="F10" s="89"/>
      <c r="G10" s="89"/>
      <c r="H10" s="100"/>
    </row>
    <row r="11" spans="2:8" ht="14.25">
      <c r="B11" s="17" t="s">
        <v>69</v>
      </c>
      <c r="C11" s="89">
        <f>'Last Year Actual'!O27</f>
        <v>825001</v>
      </c>
      <c r="D11" s="89">
        <f>'Current Year Budget'!C27</f>
        <v>841501.02</v>
      </c>
      <c r="E11" s="89"/>
      <c r="F11" s="89">
        <f>'Actuals and Projection'!C28</f>
        <v>35000</v>
      </c>
      <c r="G11" s="89">
        <f>SUM('Actuals and Projection'!C28:N28)</f>
        <v>420000</v>
      </c>
      <c r="H11" s="100">
        <f>'Actuals and Projection'!AA28</f>
        <v>852600</v>
      </c>
    </row>
    <row r="12" spans="2:8" ht="14.25">
      <c r="B12" s="17" t="s">
        <v>35</v>
      </c>
      <c r="C12" s="89">
        <f>'Last Year Actual'!O26-'Last Year Actual'!O27</f>
        <v>728511</v>
      </c>
      <c r="D12" s="89">
        <f>'Current Year Budget'!P26-'Current Year Budget'!P27</f>
        <v>727501.02</v>
      </c>
      <c r="E12" s="89"/>
      <c r="F12" s="89">
        <f>'Actuals and Projection'!C27-'Actuals and Projection'!C28</f>
        <v>3710.9999846156206</v>
      </c>
      <c r="G12" s="89">
        <f>SUM('Actuals and Projection'!C27:N27)-G11</f>
        <v>98937.66665128228</v>
      </c>
      <c r="H12" s="100">
        <f>'Actuals and Projection'!AA27-summary!H11</f>
        <v>155457.66665128223</v>
      </c>
    </row>
    <row r="13" spans="2:8" ht="14.25">
      <c r="B13" s="91" t="s">
        <v>70</v>
      </c>
      <c r="C13" s="95">
        <f>SUM(C11:C12)</f>
        <v>1553512</v>
      </c>
      <c r="D13" s="95">
        <f>SUM(D11:D12)</f>
        <v>1569002.04</v>
      </c>
      <c r="E13" s="95"/>
      <c r="F13" s="95">
        <f>SUM(F11:F12)</f>
        <v>38710.99998461562</v>
      </c>
      <c r="G13" s="118">
        <f>SUM(G11:G12)</f>
        <v>518937.6666512823</v>
      </c>
      <c r="H13" s="101">
        <f>SUM(H11:H12)</f>
        <v>1008057.6666512822</v>
      </c>
    </row>
    <row r="14" spans="2:8" ht="14.25">
      <c r="B14" s="17"/>
      <c r="C14" s="9"/>
      <c r="D14" s="9"/>
      <c r="E14" s="9"/>
      <c r="F14" s="9"/>
      <c r="G14" s="89"/>
      <c r="H14" s="100"/>
    </row>
    <row r="15" spans="2:8" ht="14.25">
      <c r="B15" s="96" t="s">
        <v>46</v>
      </c>
      <c r="C15" s="102">
        <f>C9-C13</f>
        <v>96503</v>
      </c>
      <c r="D15" s="102">
        <f>D9-D13</f>
        <v>-138502.04000000004</v>
      </c>
      <c r="E15" s="97"/>
      <c r="F15" s="102">
        <f>F9-F13</f>
        <v>14064.00001538438</v>
      </c>
      <c r="G15" s="119">
        <f>G9-G13</f>
        <v>-29237.666651282285</v>
      </c>
      <c r="H15" s="104">
        <f>H9-H13</f>
        <v>47442.33334871777</v>
      </c>
    </row>
    <row r="16" spans="2:8" ht="14.25">
      <c r="B16" s="17"/>
      <c r="C16" s="9"/>
      <c r="D16" s="9"/>
      <c r="E16" s="9"/>
      <c r="F16" s="9"/>
      <c r="G16" s="9"/>
      <c r="H16" s="88"/>
    </row>
    <row r="17" spans="2:8" ht="14.25">
      <c r="B17" s="122" t="s">
        <v>119</v>
      </c>
      <c r="C17" s="9"/>
      <c r="D17" s="9"/>
      <c r="E17" s="9"/>
      <c r="F17" s="89">
        <f>'Cash Flow Projection'!D5</f>
        <v>156000</v>
      </c>
      <c r="G17" s="9"/>
      <c r="H17" s="88"/>
    </row>
    <row r="18" spans="2:8" ht="14.25">
      <c r="B18" s="122" t="s">
        <v>118</v>
      </c>
      <c r="C18" s="9"/>
      <c r="D18" s="9"/>
      <c r="E18" s="9"/>
      <c r="F18" s="89">
        <f>'Cash Flow Projection'!Z18</f>
        <v>268442.3333487177</v>
      </c>
      <c r="G18" s="9"/>
      <c r="H18" s="88"/>
    </row>
    <row r="19" spans="2:8" ht="14.25">
      <c r="B19" s="17" t="s">
        <v>73</v>
      </c>
      <c r="C19" s="9"/>
      <c r="D19" s="9"/>
      <c r="E19" s="9"/>
      <c r="F19" s="89">
        <f>F18-F17</f>
        <v>112442.33334871772</v>
      </c>
      <c r="G19" s="9"/>
      <c r="H19" s="88"/>
    </row>
    <row r="20" spans="2:8" ht="14.25">
      <c r="B20" s="17" t="s">
        <v>74</v>
      </c>
      <c r="C20" s="9"/>
      <c r="D20" s="9"/>
      <c r="E20" s="9"/>
      <c r="F20" s="92">
        <f>'Cash Flow Projection'!Z19</f>
        <v>6.27910802733736</v>
      </c>
      <c r="G20" s="9"/>
      <c r="H20" s="88"/>
    </row>
    <row r="21" spans="2:8" ht="15" thickBot="1">
      <c r="B21" s="54"/>
      <c r="C21" s="93"/>
      <c r="D21" s="93"/>
      <c r="E21" s="93"/>
      <c r="F21" s="93"/>
      <c r="G21" s="93"/>
      <c r="H21" s="94"/>
    </row>
    <row r="24" ht="15">
      <c r="F24" t="s">
        <v>76</v>
      </c>
    </row>
  </sheetData>
  <sheetProtection/>
  <printOptions horizontalCentered="1" verticalCentered="1"/>
  <pageMargins left="0.7" right="0.7" top="0.75" bottom="0.75" header="0.3" footer="0.3"/>
  <pageSetup fitToHeight="1" fitToWidth="1"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T44"/>
  <sheetViews>
    <sheetView showGridLines="0" zoomScale="75" zoomScaleNormal="75" zoomScalePageLayoutView="0" workbookViewId="0" topLeftCell="A1">
      <selection activeCell="C4" sqref="C4"/>
    </sheetView>
  </sheetViews>
  <sheetFormatPr defaultColWidth="16.28125" defaultRowHeight="12.75" customHeight="1"/>
  <cols>
    <col min="1" max="1" width="1.7109375" style="6" customWidth="1"/>
    <col min="2" max="2" width="31.7109375" style="6" customWidth="1"/>
    <col min="3" max="12" width="15.00390625" style="6" customWidth="1"/>
    <col min="13" max="13" width="16.421875" style="6" customWidth="1"/>
    <col min="14" max="14" width="15.00390625" style="6" customWidth="1"/>
    <col min="15" max="15" width="16.00390625" style="6" customWidth="1"/>
    <col min="16" max="254" width="16.421875" style="6" customWidth="1"/>
    <col min="255" max="16384" width="16.28125" style="9" customWidth="1"/>
  </cols>
  <sheetData>
    <row r="1" spans="2:13" ht="45" customHeight="1">
      <c r="B1" s="47" t="s">
        <v>49</v>
      </c>
      <c r="M1" s="49" t="s">
        <v>50</v>
      </c>
    </row>
    <row r="2" spans="1:254" s="8" customFormat="1" ht="16.5" customHeight="1">
      <c r="A2" s="124" t="s">
        <v>0</v>
      </c>
      <c r="B2" s="125"/>
      <c r="C2" s="125"/>
      <c r="D2" s="125"/>
      <c r="E2" s="125"/>
      <c r="F2" s="125"/>
      <c r="G2" s="125"/>
      <c r="H2" s="125"/>
      <c r="I2" s="125"/>
      <c r="J2" s="125"/>
      <c r="K2" s="125"/>
      <c r="L2" s="125"/>
      <c r="M2" s="125"/>
      <c r="N2" s="12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4" customFormat="1" ht="10.5" customHeight="1">
      <c r="B3" s="25" t="s">
        <v>51</v>
      </c>
    </row>
    <row r="4" spans="1:15" s="4" customFormat="1" ht="19.5" customHeight="1">
      <c r="A4" s="22"/>
      <c r="C4" s="23" t="s">
        <v>1</v>
      </c>
      <c r="D4" s="23" t="s">
        <v>2</v>
      </c>
      <c r="E4" s="23" t="s">
        <v>3</v>
      </c>
      <c r="F4" s="23" t="s">
        <v>4</v>
      </c>
      <c r="G4" s="23" t="s">
        <v>5</v>
      </c>
      <c r="H4" s="23" t="s">
        <v>6</v>
      </c>
      <c r="I4" s="23" t="s">
        <v>7</v>
      </c>
      <c r="J4" s="23" t="s">
        <v>8</v>
      </c>
      <c r="K4" s="23" t="s">
        <v>9</v>
      </c>
      <c r="L4" s="23" t="s">
        <v>10</v>
      </c>
      <c r="M4" s="23" t="s">
        <v>11</v>
      </c>
      <c r="N4" s="23" t="s">
        <v>12</v>
      </c>
      <c r="O4" s="24" t="s">
        <v>37</v>
      </c>
    </row>
    <row r="5" spans="1:254" ht="5.25" customHeight="1" thickBot="1">
      <c r="A5" s="10"/>
      <c r="B5" s="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9.5" customHeight="1">
      <c r="A6" s="15" t="s">
        <v>13</v>
      </c>
      <c r="B6" s="16"/>
      <c r="C6" s="32">
        <f aca="true" t="shared" si="0" ref="C6:O6">C7+C17</f>
        <v>15</v>
      </c>
      <c r="D6" s="32">
        <f t="shared" si="0"/>
        <v>250000</v>
      </c>
      <c r="E6" s="32">
        <f t="shared" si="0"/>
        <v>500000</v>
      </c>
      <c r="F6" s="32">
        <f t="shared" si="0"/>
        <v>0</v>
      </c>
      <c r="G6" s="32">
        <f t="shared" si="0"/>
        <v>250000</v>
      </c>
      <c r="H6" s="32">
        <f t="shared" si="0"/>
        <v>25000</v>
      </c>
      <c r="I6" s="32">
        <f t="shared" si="0"/>
        <v>0</v>
      </c>
      <c r="J6" s="32">
        <f t="shared" si="0"/>
        <v>200000</v>
      </c>
      <c r="K6" s="32">
        <f t="shared" si="0"/>
        <v>75000</v>
      </c>
      <c r="L6" s="32">
        <f t="shared" si="0"/>
        <v>150000</v>
      </c>
      <c r="M6" s="33">
        <f t="shared" si="0"/>
        <v>270000</v>
      </c>
      <c r="N6" s="32">
        <f t="shared" si="0"/>
        <v>0</v>
      </c>
      <c r="O6" s="34">
        <f t="shared" si="0"/>
        <v>1720015</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15" s="4" customFormat="1" ht="19.5" customHeight="1">
      <c r="A7" s="40"/>
      <c r="B7" s="26" t="s">
        <v>14</v>
      </c>
      <c r="C7" s="7">
        <f aca="true" t="shared" si="1" ref="C7:O7">SUM(C8:C15)</f>
        <v>8</v>
      </c>
      <c r="D7" s="7">
        <f t="shared" si="1"/>
        <v>250000</v>
      </c>
      <c r="E7" s="7">
        <f t="shared" si="1"/>
        <v>500000</v>
      </c>
      <c r="F7" s="7">
        <f t="shared" si="1"/>
        <v>0</v>
      </c>
      <c r="G7" s="7">
        <f t="shared" si="1"/>
        <v>250000</v>
      </c>
      <c r="H7" s="7">
        <f t="shared" si="1"/>
        <v>25000</v>
      </c>
      <c r="I7" s="7">
        <f t="shared" si="1"/>
        <v>0</v>
      </c>
      <c r="J7" s="7">
        <f t="shared" si="1"/>
        <v>200000</v>
      </c>
      <c r="K7" s="7">
        <f t="shared" si="1"/>
        <v>75000</v>
      </c>
      <c r="L7" s="7">
        <f t="shared" si="1"/>
        <v>150000</v>
      </c>
      <c r="M7" s="7">
        <f t="shared" si="1"/>
        <v>200000</v>
      </c>
      <c r="N7" s="7">
        <f t="shared" si="1"/>
        <v>0</v>
      </c>
      <c r="O7" s="35">
        <f t="shared" si="1"/>
        <v>1650008</v>
      </c>
    </row>
    <row r="8" spans="1:254" ht="19.5" customHeight="1">
      <c r="A8" s="41"/>
      <c r="B8" s="27" t="s">
        <v>15</v>
      </c>
      <c r="C8" s="20">
        <v>1</v>
      </c>
      <c r="D8" s="20">
        <v>250000</v>
      </c>
      <c r="E8" s="20"/>
      <c r="F8" s="20"/>
      <c r="G8" s="20">
        <v>250000</v>
      </c>
      <c r="H8" s="20"/>
      <c r="I8" s="20"/>
      <c r="J8" s="20">
        <v>200000</v>
      </c>
      <c r="K8" s="20"/>
      <c r="L8" s="20"/>
      <c r="M8" s="20">
        <v>200000</v>
      </c>
      <c r="N8" s="20"/>
      <c r="O8" s="36">
        <f aca="true" t="shared" si="2" ref="O8:O15">SUM(C8:N8)</f>
        <v>900001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19.5" customHeight="1">
      <c r="A9" s="41"/>
      <c r="B9" s="27" t="s">
        <v>16</v>
      </c>
      <c r="C9" s="20">
        <v>1</v>
      </c>
      <c r="D9" s="20"/>
      <c r="E9" s="20">
        <v>500000</v>
      </c>
      <c r="F9" s="20"/>
      <c r="G9" s="20"/>
      <c r="H9" s="20"/>
      <c r="I9" s="20"/>
      <c r="J9" s="20"/>
      <c r="K9" s="20"/>
      <c r="L9" s="20"/>
      <c r="M9" s="20"/>
      <c r="N9" s="20"/>
      <c r="O9" s="36">
        <f t="shared" si="2"/>
        <v>500001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19.5" customHeight="1">
      <c r="A10" s="41"/>
      <c r="B10" s="27" t="s">
        <v>17</v>
      </c>
      <c r="C10" s="20">
        <v>1</v>
      </c>
      <c r="D10" s="20"/>
      <c r="E10" s="20"/>
      <c r="F10" s="20"/>
      <c r="G10" s="20"/>
      <c r="H10" s="20"/>
      <c r="I10" s="20"/>
      <c r="J10" s="20"/>
      <c r="K10" s="20"/>
      <c r="L10" s="20"/>
      <c r="M10" s="20"/>
      <c r="N10" s="20"/>
      <c r="O10" s="36">
        <f t="shared" si="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19.5" customHeight="1">
      <c r="A11" s="17"/>
      <c r="B11" s="12" t="s">
        <v>18</v>
      </c>
      <c r="C11" s="20">
        <v>1</v>
      </c>
      <c r="D11" s="20"/>
      <c r="E11" s="20"/>
      <c r="F11" s="20"/>
      <c r="G11" s="20"/>
      <c r="H11" s="20">
        <v>25000</v>
      </c>
      <c r="I11" s="20"/>
      <c r="J11" s="20"/>
      <c r="K11" s="20"/>
      <c r="L11" s="20"/>
      <c r="M11" s="20"/>
      <c r="N11" s="20"/>
      <c r="O11" s="36">
        <f t="shared" si="2"/>
        <v>25001</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19.5" customHeight="1">
      <c r="A12" s="42"/>
      <c r="B12" s="28" t="s">
        <v>19</v>
      </c>
      <c r="C12" s="20">
        <v>1</v>
      </c>
      <c r="D12" s="20"/>
      <c r="E12" s="20"/>
      <c r="F12" s="20"/>
      <c r="G12" s="20"/>
      <c r="H12" s="20"/>
      <c r="I12" s="20"/>
      <c r="J12" s="20"/>
      <c r="K12" s="20"/>
      <c r="L12" s="20"/>
      <c r="M12" s="20"/>
      <c r="N12" s="20"/>
      <c r="O12" s="36">
        <f t="shared" si="2"/>
        <v>1</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19.5" customHeight="1">
      <c r="A13" s="42"/>
      <c r="B13" s="28" t="s">
        <v>20</v>
      </c>
      <c r="C13" s="20">
        <v>1</v>
      </c>
      <c r="D13" s="20"/>
      <c r="E13" s="20"/>
      <c r="F13" s="20"/>
      <c r="G13" s="20"/>
      <c r="H13" s="20"/>
      <c r="I13" s="20"/>
      <c r="J13" s="20"/>
      <c r="K13" s="20"/>
      <c r="L13" s="20"/>
      <c r="M13" s="20"/>
      <c r="N13" s="20"/>
      <c r="O13" s="36">
        <f t="shared" si="2"/>
        <v>1</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19.5" customHeight="1">
      <c r="A14" s="43"/>
      <c r="B14" s="29" t="s">
        <v>21</v>
      </c>
      <c r="C14" s="20">
        <v>1</v>
      </c>
      <c r="D14" s="20"/>
      <c r="E14" s="20"/>
      <c r="F14" s="20"/>
      <c r="G14" s="20"/>
      <c r="H14" s="20"/>
      <c r="I14" s="20"/>
      <c r="J14" s="20"/>
      <c r="K14" s="20"/>
      <c r="L14" s="20"/>
      <c r="M14" s="20"/>
      <c r="N14" s="20"/>
      <c r="O14" s="36">
        <f t="shared" si="2"/>
        <v>1</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19.5" customHeight="1">
      <c r="A15" s="41"/>
      <c r="B15" s="30" t="s">
        <v>45</v>
      </c>
      <c r="C15" s="20">
        <v>1</v>
      </c>
      <c r="D15" s="20"/>
      <c r="E15" s="20"/>
      <c r="F15" s="20"/>
      <c r="G15" s="20"/>
      <c r="H15" s="20"/>
      <c r="I15" s="20"/>
      <c r="J15" s="20"/>
      <c r="K15" s="20">
        <v>75000</v>
      </c>
      <c r="L15" s="20">
        <v>150000</v>
      </c>
      <c r="M15" s="20"/>
      <c r="N15" s="20"/>
      <c r="O15" s="36">
        <f t="shared" si="2"/>
        <v>225001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3.75" customHeight="1">
      <c r="A16" s="17"/>
      <c r="B16" s="13"/>
      <c r="C16" s="3"/>
      <c r="D16" s="3"/>
      <c r="E16" s="3"/>
      <c r="F16" s="3"/>
      <c r="G16" s="3"/>
      <c r="H16" s="3"/>
      <c r="I16" s="3"/>
      <c r="J16" s="3"/>
      <c r="K16" s="3"/>
      <c r="L16" s="3"/>
      <c r="M16" s="3"/>
      <c r="N16" s="3"/>
      <c r="O16" s="3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15" s="4" customFormat="1" ht="19.5" customHeight="1">
      <c r="A17" s="31"/>
      <c r="B17" s="11" t="s">
        <v>22</v>
      </c>
      <c r="C17" s="7">
        <f aca="true" t="shared" si="3" ref="C17:O17">SUM(C18:C24)</f>
        <v>7</v>
      </c>
      <c r="D17" s="7">
        <f t="shared" si="3"/>
        <v>0</v>
      </c>
      <c r="E17" s="7">
        <f t="shared" si="3"/>
        <v>0</v>
      </c>
      <c r="F17" s="7">
        <f t="shared" si="3"/>
        <v>0</v>
      </c>
      <c r="G17" s="7">
        <f t="shared" si="3"/>
        <v>0</v>
      </c>
      <c r="H17" s="7">
        <f t="shared" si="3"/>
        <v>0</v>
      </c>
      <c r="I17" s="7">
        <f t="shared" si="3"/>
        <v>0</v>
      </c>
      <c r="J17" s="7">
        <f t="shared" si="3"/>
        <v>0</v>
      </c>
      <c r="K17" s="7">
        <f t="shared" si="3"/>
        <v>0</v>
      </c>
      <c r="L17" s="7">
        <f t="shared" si="3"/>
        <v>0</v>
      </c>
      <c r="M17" s="7">
        <f t="shared" si="3"/>
        <v>70000</v>
      </c>
      <c r="N17" s="7">
        <f t="shared" si="3"/>
        <v>0</v>
      </c>
      <c r="O17" s="35">
        <f t="shared" si="3"/>
        <v>70007</v>
      </c>
    </row>
    <row r="18" spans="1:254" ht="19.5" customHeight="1">
      <c r="A18" s="41"/>
      <c r="B18" s="27" t="s">
        <v>23</v>
      </c>
      <c r="C18" s="20">
        <v>1</v>
      </c>
      <c r="D18" s="20"/>
      <c r="E18" s="20"/>
      <c r="F18" s="20"/>
      <c r="G18" s="20"/>
      <c r="H18" s="20"/>
      <c r="I18" s="20"/>
      <c r="J18" s="20"/>
      <c r="K18" s="20"/>
      <c r="L18" s="20"/>
      <c r="M18" s="20"/>
      <c r="N18" s="20"/>
      <c r="O18" s="36">
        <f aca="true" t="shared" si="4" ref="O18:O24">SUM(C18:N18)</f>
        <v>1</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19.5" customHeight="1">
      <c r="A19" s="17"/>
      <c r="B19" s="12" t="s">
        <v>24</v>
      </c>
      <c r="C19" s="20">
        <v>1</v>
      </c>
      <c r="D19" s="20"/>
      <c r="E19" s="20"/>
      <c r="F19" s="20"/>
      <c r="G19" s="20"/>
      <c r="H19" s="20"/>
      <c r="I19" s="20"/>
      <c r="J19" s="20"/>
      <c r="K19" s="20"/>
      <c r="L19" s="20"/>
      <c r="M19" s="20"/>
      <c r="N19" s="20"/>
      <c r="O19" s="36">
        <f t="shared" si="4"/>
        <v>1</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19.5" customHeight="1">
      <c r="A20" s="41"/>
      <c r="B20" s="27" t="s">
        <v>25</v>
      </c>
      <c r="C20" s="20">
        <v>1</v>
      </c>
      <c r="D20" s="20"/>
      <c r="E20" s="20"/>
      <c r="F20" s="20"/>
      <c r="G20" s="20"/>
      <c r="H20" s="20"/>
      <c r="I20" s="20"/>
      <c r="J20" s="20"/>
      <c r="K20" s="20"/>
      <c r="L20" s="20"/>
      <c r="M20" s="20">
        <v>70000</v>
      </c>
      <c r="N20" s="20"/>
      <c r="O20" s="36">
        <f t="shared" si="4"/>
        <v>70001</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19.5" customHeight="1">
      <c r="A21" s="17"/>
      <c r="B21" s="13" t="s">
        <v>43</v>
      </c>
      <c r="C21" s="20">
        <v>1</v>
      </c>
      <c r="D21" s="20"/>
      <c r="E21" s="20"/>
      <c r="F21" s="20"/>
      <c r="G21" s="20"/>
      <c r="H21" s="20"/>
      <c r="I21" s="20"/>
      <c r="J21" s="20"/>
      <c r="K21" s="20"/>
      <c r="L21" s="20"/>
      <c r="M21" s="20"/>
      <c r="N21" s="20"/>
      <c r="O21" s="36">
        <f t="shared" si="4"/>
        <v>1</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19.5" customHeight="1">
      <c r="A22" s="41"/>
      <c r="B22" s="30" t="s">
        <v>44</v>
      </c>
      <c r="C22" s="20">
        <v>1</v>
      </c>
      <c r="D22" s="20"/>
      <c r="E22" s="20"/>
      <c r="F22" s="20"/>
      <c r="G22" s="20"/>
      <c r="H22" s="20"/>
      <c r="I22" s="20"/>
      <c r="J22" s="20"/>
      <c r="K22" s="20"/>
      <c r="L22" s="20"/>
      <c r="M22" s="20"/>
      <c r="N22" s="20"/>
      <c r="O22" s="36">
        <f t="shared" si="4"/>
        <v>1</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19.5" customHeight="1">
      <c r="A23" s="41"/>
      <c r="B23" s="27" t="s">
        <v>26</v>
      </c>
      <c r="C23" s="20">
        <v>1</v>
      </c>
      <c r="D23" s="20"/>
      <c r="E23" s="20"/>
      <c r="F23" s="20"/>
      <c r="G23" s="20"/>
      <c r="H23" s="20"/>
      <c r="I23" s="20"/>
      <c r="J23" s="20"/>
      <c r="K23" s="20"/>
      <c r="L23" s="20"/>
      <c r="M23" s="20"/>
      <c r="N23" s="20"/>
      <c r="O23" s="36">
        <f t="shared" si="4"/>
        <v>1</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19.5" customHeight="1" thickBot="1">
      <c r="A24" s="18"/>
      <c r="B24" s="19" t="s">
        <v>27</v>
      </c>
      <c r="C24" s="38">
        <v>1</v>
      </c>
      <c r="D24" s="38"/>
      <c r="E24" s="38"/>
      <c r="F24" s="38"/>
      <c r="G24" s="38"/>
      <c r="H24" s="38"/>
      <c r="I24" s="38"/>
      <c r="J24" s="38"/>
      <c r="K24" s="38"/>
      <c r="L24" s="38"/>
      <c r="M24" s="38"/>
      <c r="N24" s="38"/>
      <c r="O24" s="39">
        <f t="shared" si="4"/>
        <v>1</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11.25" customHeight="1" thickBot="1">
      <c r="A25" s="1"/>
      <c r="B25" s="2"/>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19.5" customHeight="1">
      <c r="A26" s="50" t="s">
        <v>28</v>
      </c>
      <c r="B26" s="61"/>
      <c r="C26" s="51">
        <f aca="true" t="shared" si="5" ref="C26:O26">SUM(C27:C38)</f>
        <v>12</v>
      </c>
      <c r="D26" s="51">
        <f t="shared" si="5"/>
        <v>128500</v>
      </c>
      <c r="E26" s="51">
        <f t="shared" si="5"/>
        <v>128500</v>
      </c>
      <c r="F26" s="51">
        <f t="shared" si="5"/>
        <v>128500</v>
      </c>
      <c r="G26" s="51">
        <f t="shared" si="5"/>
        <v>128500</v>
      </c>
      <c r="H26" s="51">
        <f t="shared" si="5"/>
        <v>128500</v>
      </c>
      <c r="I26" s="51">
        <f t="shared" si="5"/>
        <v>128500</v>
      </c>
      <c r="J26" s="51">
        <f t="shared" si="5"/>
        <v>128500</v>
      </c>
      <c r="K26" s="51">
        <f t="shared" si="5"/>
        <v>193500</v>
      </c>
      <c r="L26" s="51">
        <f t="shared" si="5"/>
        <v>203500</v>
      </c>
      <c r="M26" s="51">
        <f t="shared" si="5"/>
        <v>128500</v>
      </c>
      <c r="N26" s="51">
        <f t="shared" si="5"/>
        <v>128500</v>
      </c>
      <c r="O26" s="52">
        <f t="shared" si="5"/>
        <v>1553512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19.5" customHeight="1">
      <c r="A27" s="41"/>
      <c r="B27" s="27" t="s">
        <v>29</v>
      </c>
      <c r="C27" s="3">
        <v>1</v>
      </c>
      <c r="D27" s="3">
        <v>75000</v>
      </c>
      <c r="E27" s="3">
        <v>75000</v>
      </c>
      <c r="F27" s="3">
        <v>75000</v>
      </c>
      <c r="G27" s="3">
        <v>75000</v>
      </c>
      <c r="H27" s="3">
        <v>75000</v>
      </c>
      <c r="I27" s="3">
        <v>75000</v>
      </c>
      <c r="J27" s="3">
        <v>75000</v>
      </c>
      <c r="K27" s="3">
        <v>75000</v>
      </c>
      <c r="L27" s="3">
        <v>75000</v>
      </c>
      <c r="M27" s="3">
        <v>75000</v>
      </c>
      <c r="N27" s="3">
        <v>75000</v>
      </c>
      <c r="O27" s="53">
        <f aca="true" t="shared" si="6" ref="O27:O38">SUM(C27:N27)</f>
        <v>825001</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19.5" customHeight="1">
      <c r="A28" s="41"/>
      <c r="B28" s="27" t="s">
        <v>30</v>
      </c>
      <c r="C28" s="3">
        <v>1</v>
      </c>
      <c r="D28" s="3">
        <v>25000</v>
      </c>
      <c r="E28" s="3">
        <v>25000</v>
      </c>
      <c r="F28" s="3">
        <v>25000</v>
      </c>
      <c r="G28" s="3">
        <v>25000</v>
      </c>
      <c r="H28" s="3">
        <v>25000</v>
      </c>
      <c r="I28" s="3">
        <v>25000</v>
      </c>
      <c r="J28" s="3">
        <v>25000</v>
      </c>
      <c r="K28" s="3">
        <v>25000</v>
      </c>
      <c r="L28" s="3">
        <v>25000</v>
      </c>
      <c r="M28" s="3">
        <v>25000</v>
      </c>
      <c r="N28" s="3">
        <v>25000</v>
      </c>
      <c r="O28" s="53">
        <f t="shared" si="6"/>
        <v>275001</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19.5" customHeight="1">
      <c r="A29" s="41"/>
      <c r="B29" s="27" t="s">
        <v>31</v>
      </c>
      <c r="C29" s="3">
        <v>1</v>
      </c>
      <c r="D29" s="3">
        <v>15000</v>
      </c>
      <c r="E29" s="3">
        <v>15000</v>
      </c>
      <c r="F29" s="3">
        <v>15000</v>
      </c>
      <c r="G29" s="3">
        <v>15000</v>
      </c>
      <c r="H29" s="3">
        <v>15000</v>
      </c>
      <c r="I29" s="3">
        <v>15000</v>
      </c>
      <c r="J29" s="3">
        <v>15000</v>
      </c>
      <c r="K29" s="3">
        <v>15000</v>
      </c>
      <c r="L29" s="3">
        <v>15000</v>
      </c>
      <c r="M29" s="3">
        <v>15000</v>
      </c>
      <c r="N29" s="3">
        <v>15000</v>
      </c>
      <c r="O29" s="53">
        <f t="shared" si="6"/>
        <v>165001</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19.5" customHeight="1">
      <c r="A30" s="41"/>
      <c r="B30" s="27" t="s">
        <v>32</v>
      </c>
      <c r="C30" s="3">
        <v>1</v>
      </c>
      <c r="D30" s="3">
        <v>3500</v>
      </c>
      <c r="E30" s="3">
        <v>3500</v>
      </c>
      <c r="F30" s="3">
        <v>3500</v>
      </c>
      <c r="G30" s="3">
        <v>3500</v>
      </c>
      <c r="H30" s="3">
        <v>3500</v>
      </c>
      <c r="I30" s="3">
        <v>3500</v>
      </c>
      <c r="J30" s="3">
        <v>3500</v>
      </c>
      <c r="K30" s="3">
        <v>3500</v>
      </c>
      <c r="L30" s="3">
        <v>3500</v>
      </c>
      <c r="M30" s="3">
        <v>3500</v>
      </c>
      <c r="N30" s="3">
        <v>3500</v>
      </c>
      <c r="O30" s="53">
        <f t="shared" si="6"/>
        <v>38501</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19.5" customHeight="1">
      <c r="A31" s="41"/>
      <c r="B31" s="30" t="s">
        <v>40</v>
      </c>
      <c r="C31" s="3">
        <v>1</v>
      </c>
      <c r="D31" s="3"/>
      <c r="E31" s="3"/>
      <c r="F31" s="3"/>
      <c r="G31" s="3"/>
      <c r="H31" s="3"/>
      <c r="I31" s="3"/>
      <c r="J31" s="3"/>
      <c r="K31" s="3"/>
      <c r="L31" s="3">
        <v>75000</v>
      </c>
      <c r="M31" s="3"/>
      <c r="N31" s="3"/>
      <c r="O31" s="53">
        <f t="shared" si="6"/>
        <v>75001</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19.5" customHeight="1">
      <c r="A32" s="41"/>
      <c r="B32" s="30" t="s">
        <v>41</v>
      </c>
      <c r="C32" s="3">
        <v>1</v>
      </c>
      <c r="D32" s="3">
        <v>3500</v>
      </c>
      <c r="E32" s="3">
        <v>3500</v>
      </c>
      <c r="F32" s="3">
        <v>3500</v>
      </c>
      <c r="G32" s="3">
        <v>3500</v>
      </c>
      <c r="H32" s="3">
        <v>3500</v>
      </c>
      <c r="I32" s="3">
        <v>3500</v>
      </c>
      <c r="J32" s="3">
        <v>3500</v>
      </c>
      <c r="K32" s="3">
        <v>3500</v>
      </c>
      <c r="L32" s="3">
        <v>3500</v>
      </c>
      <c r="M32" s="3">
        <v>3500</v>
      </c>
      <c r="N32" s="3">
        <v>3500</v>
      </c>
      <c r="O32" s="53">
        <f t="shared" si="6"/>
        <v>38501</v>
      </c>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19.5" customHeight="1">
      <c r="A33" s="41"/>
      <c r="B33" s="30" t="s">
        <v>47</v>
      </c>
      <c r="C33" s="3">
        <v>1</v>
      </c>
      <c r="D33" s="3"/>
      <c r="E33" s="3"/>
      <c r="F33" s="3"/>
      <c r="G33" s="3"/>
      <c r="H33" s="3"/>
      <c r="I33" s="3"/>
      <c r="J33" s="3"/>
      <c r="K33" s="3">
        <v>65000</v>
      </c>
      <c r="L33" s="3"/>
      <c r="M33" s="3"/>
      <c r="N33" s="3"/>
      <c r="O33" s="53">
        <f t="shared" si="6"/>
        <v>65001</v>
      </c>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19.5" customHeight="1">
      <c r="A34" s="41"/>
      <c r="B34" s="30" t="s">
        <v>38</v>
      </c>
      <c r="C34" s="3">
        <v>1</v>
      </c>
      <c r="D34" s="3"/>
      <c r="E34" s="3"/>
      <c r="F34" s="3"/>
      <c r="G34" s="3"/>
      <c r="H34" s="3"/>
      <c r="I34" s="3"/>
      <c r="J34" s="3"/>
      <c r="K34" s="3"/>
      <c r="L34" s="3"/>
      <c r="M34" s="3"/>
      <c r="N34" s="3"/>
      <c r="O34" s="53">
        <f t="shared" si="6"/>
        <v>1</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19.5" customHeight="1">
      <c r="A35" s="41"/>
      <c r="B35" s="27" t="s">
        <v>33</v>
      </c>
      <c r="C35" s="3">
        <v>1</v>
      </c>
      <c r="D35" s="3">
        <v>6500</v>
      </c>
      <c r="E35" s="3">
        <v>6500</v>
      </c>
      <c r="F35" s="3">
        <v>6500</v>
      </c>
      <c r="G35" s="3">
        <v>6500</v>
      </c>
      <c r="H35" s="3">
        <v>6500</v>
      </c>
      <c r="I35" s="3">
        <v>6500</v>
      </c>
      <c r="J35" s="3">
        <v>6500</v>
      </c>
      <c r="K35" s="3">
        <v>6500</v>
      </c>
      <c r="L35" s="3">
        <v>6500</v>
      </c>
      <c r="M35" s="3">
        <v>6500</v>
      </c>
      <c r="N35" s="3">
        <v>6500</v>
      </c>
      <c r="O35" s="53">
        <f t="shared" si="6"/>
        <v>71501</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19.5" customHeight="1">
      <c r="A36" s="41"/>
      <c r="B36" s="27" t="s">
        <v>34</v>
      </c>
      <c r="C36" s="3">
        <v>1</v>
      </c>
      <c r="D36" s="3"/>
      <c r="E36" s="3"/>
      <c r="F36" s="3"/>
      <c r="G36" s="3"/>
      <c r="H36" s="3"/>
      <c r="I36" s="3"/>
      <c r="J36" s="3"/>
      <c r="K36" s="3"/>
      <c r="L36" s="3"/>
      <c r="M36" s="3"/>
      <c r="N36" s="3"/>
      <c r="O36" s="53">
        <f t="shared" si="6"/>
        <v>1</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26.25" customHeight="1">
      <c r="A37" s="41"/>
      <c r="B37" s="62" t="s">
        <v>39</v>
      </c>
      <c r="C37" s="3">
        <v>1</v>
      </c>
      <c r="D37" s="3"/>
      <c r="E37" s="3"/>
      <c r="F37" s="3"/>
      <c r="G37" s="3"/>
      <c r="H37" s="3"/>
      <c r="I37" s="3"/>
      <c r="J37" s="3"/>
      <c r="K37" s="3"/>
      <c r="L37" s="3"/>
      <c r="M37" s="3"/>
      <c r="N37" s="3"/>
      <c r="O37" s="53">
        <f t="shared" si="6"/>
        <v>1</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thickBot="1">
      <c r="A38" s="54"/>
      <c r="B38" s="63" t="s">
        <v>35</v>
      </c>
      <c r="C38" s="55">
        <v>1</v>
      </c>
      <c r="D38" s="55"/>
      <c r="E38" s="55"/>
      <c r="F38" s="55"/>
      <c r="G38" s="55"/>
      <c r="H38" s="55"/>
      <c r="I38" s="55"/>
      <c r="J38" s="55"/>
      <c r="K38" s="55"/>
      <c r="L38" s="55"/>
      <c r="M38" s="55"/>
      <c r="N38" s="55"/>
      <c r="O38" s="56">
        <f t="shared" si="6"/>
        <v>1</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ht="10.5" customHeight="1" thickBot="1"/>
    <row r="40" spans="1:15" ht="24" customHeight="1" thickBot="1">
      <c r="A40" s="60"/>
      <c r="B40" s="57" t="s">
        <v>46</v>
      </c>
      <c r="C40" s="58">
        <f aca="true" t="shared" si="7" ref="C40:O40">C6-C26</f>
        <v>3</v>
      </c>
      <c r="D40" s="58">
        <f t="shared" si="7"/>
        <v>121500</v>
      </c>
      <c r="E40" s="58">
        <f t="shared" si="7"/>
        <v>371500</v>
      </c>
      <c r="F40" s="58">
        <f t="shared" si="7"/>
        <v>-128500</v>
      </c>
      <c r="G40" s="58">
        <f t="shared" si="7"/>
        <v>121500</v>
      </c>
      <c r="H40" s="58">
        <f t="shared" si="7"/>
        <v>-103500</v>
      </c>
      <c r="I40" s="58">
        <f t="shared" si="7"/>
        <v>-128500</v>
      </c>
      <c r="J40" s="58">
        <f t="shared" si="7"/>
        <v>71500</v>
      </c>
      <c r="K40" s="58">
        <f t="shared" si="7"/>
        <v>-118500</v>
      </c>
      <c r="L40" s="58">
        <f t="shared" si="7"/>
        <v>-53500</v>
      </c>
      <c r="M40" s="58">
        <f t="shared" si="7"/>
        <v>141500</v>
      </c>
      <c r="N40" s="58">
        <f t="shared" si="7"/>
        <v>-128500</v>
      </c>
      <c r="O40" s="59">
        <f t="shared" si="7"/>
        <v>166503</v>
      </c>
    </row>
    <row r="41" ht="12.75" customHeight="1">
      <c r="B41" s="14" t="s">
        <v>42</v>
      </c>
    </row>
    <row r="43" ht="18" customHeight="1">
      <c r="B43" s="45" t="s">
        <v>48</v>
      </c>
    </row>
    <row r="44" ht="12.75" customHeight="1">
      <c r="B44" s="6" t="s">
        <v>78</v>
      </c>
    </row>
  </sheetData>
  <sheetProtection/>
  <mergeCells count="1">
    <mergeCell ref="A2:N2"/>
  </mergeCells>
  <printOptions/>
  <pageMargins left="0.5" right="0.5" top="0.5" bottom="0.5" header="0.25" footer="0.25"/>
  <pageSetup fitToHeight="1" fitToWidth="1" horizontalDpi="600" verticalDpi="600" orientation="landscape" scale="56" r:id="rId2"/>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U43"/>
  <sheetViews>
    <sheetView showGridLines="0" zoomScalePageLayoutView="0" workbookViewId="0" topLeftCell="A2">
      <selection activeCell="E9" sqref="E9"/>
    </sheetView>
  </sheetViews>
  <sheetFormatPr defaultColWidth="16.28125" defaultRowHeight="12.75" customHeight="1"/>
  <cols>
    <col min="1" max="1" width="1.7109375" style="6" customWidth="1"/>
    <col min="2" max="2" width="31.7109375" style="6" customWidth="1"/>
    <col min="3" max="3" width="16.140625" style="6" customWidth="1"/>
    <col min="4" max="15" width="15.00390625" style="6" customWidth="1"/>
    <col min="16" max="16" width="16.00390625" style="6" customWidth="1"/>
    <col min="17" max="255" width="16.421875" style="6" customWidth="1"/>
    <col min="256" max="16384" width="16.28125" style="9" customWidth="1"/>
  </cols>
  <sheetData>
    <row r="1" spans="2:14" ht="45" customHeight="1">
      <c r="B1" s="47" t="s">
        <v>49</v>
      </c>
      <c r="C1" s="48"/>
      <c r="N1" s="49" t="s">
        <v>50</v>
      </c>
    </row>
    <row r="2" spans="1:255" s="8" customFormat="1" ht="16.5" customHeight="1">
      <c r="A2" s="124" t="s">
        <v>52</v>
      </c>
      <c r="B2" s="125"/>
      <c r="C2" s="125"/>
      <c r="D2" s="125"/>
      <c r="E2" s="125"/>
      <c r="F2" s="125"/>
      <c r="G2" s="125"/>
      <c r="H2" s="125"/>
      <c r="I2" s="125"/>
      <c r="J2" s="125"/>
      <c r="K2" s="125"/>
      <c r="L2" s="125"/>
      <c r="M2" s="125"/>
      <c r="N2" s="125"/>
      <c r="O2" s="12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2:3" s="4" customFormat="1" ht="27" customHeight="1">
      <c r="B3" s="25" t="s">
        <v>53</v>
      </c>
      <c r="C3" s="21"/>
    </row>
    <row r="4" spans="1:16" s="4" customFormat="1" ht="19.5" customHeight="1">
      <c r="A4" s="22"/>
      <c r="C4" s="66" t="s">
        <v>54</v>
      </c>
      <c r="D4" s="65" t="str">
        <f>'Last Year Actual'!C4</f>
        <v>July</v>
      </c>
      <c r="E4" s="65" t="str">
        <f>'Last Year Actual'!D4</f>
        <v>Aug</v>
      </c>
      <c r="F4" s="65" t="str">
        <f>'Last Year Actual'!E4</f>
        <v>Sept</v>
      </c>
      <c r="G4" s="65" t="str">
        <f>'Last Year Actual'!F4</f>
        <v>Oct</v>
      </c>
      <c r="H4" s="65" t="str">
        <f>'Last Year Actual'!G4</f>
        <v>Nov</v>
      </c>
      <c r="I4" s="65" t="str">
        <f>'Last Year Actual'!H4</f>
        <v>Dec</v>
      </c>
      <c r="J4" s="65" t="str">
        <f>'Last Year Actual'!I4</f>
        <v>Jan</v>
      </c>
      <c r="K4" s="65" t="str">
        <f>'Last Year Actual'!J4</f>
        <v>Feb</v>
      </c>
      <c r="L4" s="65" t="str">
        <f>'Last Year Actual'!K4</f>
        <v>Mar</v>
      </c>
      <c r="M4" s="65" t="str">
        <f>'Last Year Actual'!L4</f>
        <v>Apr</v>
      </c>
      <c r="N4" s="65" t="str">
        <f>'Last Year Actual'!M4</f>
        <v>May</v>
      </c>
      <c r="O4" s="65" t="str">
        <f>'Last Year Actual'!N4</f>
        <v>June</v>
      </c>
      <c r="P4" s="24" t="s">
        <v>37</v>
      </c>
    </row>
    <row r="5" spans="1:255" ht="5.25" customHeight="1" thickBot="1">
      <c r="A5" s="10"/>
      <c r="B5" s="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9.5" customHeight="1">
      <c r="A6" s="15" t="s">
        <v>13</v>
      </c>
      <c r="B6" s="16"/>
      <c r="C6" s="32">
        <f>C7+C17</f>
        <v>1430500</v>
      </c>
      <c r="D6" s="32">
        <f aca="true" t="shared" si="0" ref="D6:P6">D7+D17</f>
        <v>300504.1721288492</v>
      </c>
      <c r="E6" s="32">
        <f t="shared" si="0"/>
        <v>208333.10185210907</v>
      </c>
      <c r="F6" s="32">
        <f t="shared" si="0"/>
        <v>124999.75000049999</v>
      </c>
      <c r="G6" s="32">
        <f t="shared" si="0"/>
        <v>0</v>
      </c>
      <c r="H6" s="32">
        <f t="shared" si="0"/>
        <v>208333.10185210907</v>
      </c>
      <c r="I6" s="32">
        <f t="shared" si="0"/>
        <v>54997.80008799648</v>
      </c>
      <c r="J6" s="32">
        <f t="shared" si="0"/>
        <v>0</v>
      </c>
      <c r="K6" s="32">
        <f t="shared" si="0"/>
        <v>166666.48148168725</v>
      </c>
      <c r="L6" s="32">
        <f t="shared" si="0"/>
        <v>66666.37037168724</v>
      </c>
      <c r="M6" s="32">
        <f t="shared" si="0"/>
        <v>133332.74074337448</v>
      </c>
      <c r="N6" s="33">
        <f t="shared" si="0"/>
        <v>166666.48148168725</v>
      </c>
      <c r="O6" s="32">
        <f t="shared" si="0"/>
        <v>0</v>
      </c>
      <c r="P6" s="34">
        <f t="shared" si="0"/>
        <v>1430500</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16" s="4" customFormat="1" ht="19.5" customHeight="1">
      <c r="A7" s="40"/>
      <c r="B7" s="26" t="s">
        <v>14</v>
      </c>
      <c r="C7" s="7">
        <f>SUM(C8:C15)</f>
        <v>1230000</v>
      </c>
      <c r="D7" s="7">
        <f aca="true" t="shared" si="1" ref="D7:P7">SUM(D8:D15)</f>
        <v>100004.17212884923</v>
      </c>
      <c r="E7" s="7">
        <f t="shared" si="1"/>
        <v>208333.10185210907</v>
      </c>
      <c r="F7" s="7">
        <f t="shared" si="1"/>
        <v>124999.75000049999</v>
      </c>
      <c r="G7" s="7">
        <f t="shared" si="1"/>
        <v>0</v>
      </c>
      <c r="H7" s="7">
        <f t="shared" si="1"/>
        <v>208333.10185210907</v>
      </c>
      <c r="I7" s="7">
        <f t="shared" si="1"/>
        <v>54997.80008799648</v>
      </c>
      <c r="J7" s="7">
        <f t="shared" si="1"/>
        <v>0</v>
      </c>
      <c r="K7" s="7">
        <f t="shared" si="1"/>
        <v>166666.48148168725</v>
      </c>
      <c r="L7" s="7">
        <f t="shared" si="1"/>
        <v>66666.37037168724</v>
      </c>
      <c r="M7" s="7">
        <f t="shared" si="1"/>
        <v>133332.74074337448</v>
      </c>
      <c r="N7" s="7">
        <f t="shared" si="1"/>
        <v>166666.48148168725</v>
      </c>
      <c r="O7" s="7">
        <f t="shared" si="1"/>
        <v>0</v>
      </c>
      <c r="P7" s="35">
        <f t="shared" si="1"/>
        <v>1230000</v>
      </c>
    </row>
    <row r="8" spans="1:255" ht="19.5" customHeight="1">
      <c r="A8" s="41"/>
      <c r="B8" s="27" t="s">
        <v>15</v>
      </c>
      <c r="C8" s="20">
        <v>750000</v>
      </c>
      <c r="D8" s="64">
        <f>$C8*('Last Year Actual'!C8/'Last Year Actual'!$O8)</f>
        <v>0.8333324074084363</v>
      </c>
      <c r="E8" s="64">
        <f>$C8*('Last Year Actual'!D8/'Last Year Actual'!$O8)</f>
        <v>208333.10185210907</v>
      </c>
      <c r="F8" s="64">
        <f>$C8*('Last Year Actual'!E8/'Last Year Actual'!$O8)</f>
        <v>0</v>
      </c>
      <c r="G8" s="64">
        <f>$C8*('Last Year Actual'!F8/'Last Year Actual'!$O8)</f>
        <v>0</v>
      </c>
      <c r="H8" s="64">
        <f>$C8*('Last Year Actual'!G8/'Last Year Actual'!$O8)</f>
        <v>208333.10185210907</v>
      </c>
      <c r="I8" s="64">
        <f>$C8*('Last Year Actual'!H8/'Last Year Actual'!$O8)</f>
        <v>0</v>
      </c>
      <c r="J8" s="64">
        <f>$C8*('Last Year Actual'!I8/'Last Year Actual'!$O8)</f>
        <v>0</v>
      </c>
      <c r="K8" s="64">
        <f>$C8*('Last Year Actual'!J8/'Last Year Actual'!$O8)</f>
        <v>166666.48148168725</v>
      </c>
      <c r="L8" s="64">
        <f>$C8*('Last Year Actual'!K8/'Last Year Actual'!$O8)</f>
        <v>0</v>
      </c>
      <c r="M8" s="64">
        <f>$C8*('Last Year Actual'!L8/'Last Year Actual'!$O8)</f>
        <v>0</v>
      </c>
      <c r="N8" s="64">
        <f>$C8*('Last Year Actual'!M8/'Last Year Actual'!$O8)</f>
        <v>166666.48148168725</v>
      </c>
      <c r="O8" s="64">
        <f>$C8*('Last Year Actual'!N8/'Last Year Actual'!$O8)</f>
        <v>0</v>
      </c>
      <c r="P8" s="36">
        <f>SUM(D8:O8)</f>
        <v>750000.0000000001</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9.5" customHeight="1">
      <c r="A9" s="41"/>
      <c r="B9" s="27" t="s">
        <v>16</v>
      </c>
      <c r="C9" s="20">
        <v>125000</v>
      </c>
      <c r="D9" s="64">
        <f>$C9*('Last Year Actual'!C9/'Last Year Actual'!$O9)</f>
        <v>0.249999500001</v>
      </c>
      <c r="E9" s="64">
        <f>$C9*('Last Year Actual'!D9/'Last Year Actual'!$O9)</f>
        <v>0</v>
      </c>
      <c r="F9" s="64">
        <f>$C9*('Last Year Actual'!E9/'Last Year Actual'!$O9)</f>
        <v>124999.75000049999</v>
      </c>
      <c r="G9" s="64">
        <f>$C9*('Last Year Actual'!F9/'Last Year Actual'!$O9)</f>
        <v>0</v>
      </c>
      <c r="H9" s="64">
        <f>$C9*('Last Year Actual'!G9/'Last Year Actual'!$O9)</f>
        <v>0</v>
      </c>
      <c r="I9" s="64">
        <f>$C9*('Last Year Actual'!H9/'Last Year Actual'!$O9)</f>
        <v>0</v>
      </c>
      <c r="J9" s="64">
        <f>$C9*('Last Year Actual'!I9/'Last Year Actual'!$O9)</f>
        <v>0</v>
      </c>
      <c r="K9" s="64">
        <f>$C9*('Last Year Actual'!J9/'Last Year Actual'!$O9)</f>
        <v>0</v>
      </c>
      <c r="L9" s="64">
        <f>$C9*('Last Year Actual'!K9/'Last Year Actual'!$O9)</f>
        <v>0</v>
      </c>
      <c r="M9" s="64">
        <f>$C9*('Last Year Actual'!L9/'Last Year Actual'!$O9)</f>
        <v>0</v>
      </c>
      <c r="N9" s="64">
        <f>$C9*('Last Year Actual'!M9/'Last Year Actual'!$O9)</f>
        <v>0</v>
      </c>
      <c r="O9" s="64">
        <f>$C9*('Last Year Actual'!N9/'Last Year Actual'!$O9)</f>
        <v>0</v>
      </c>
      <c r="P9" s="36">
        <f aca="true" t="shared" si="2" ref="P9:P15">SUM(D9:O9)</f>
        <v>124999.99999999999</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9.5" customHeight="1">
      <c r="A10" s="41"/>
      <c r="B10" s="27" t="s">
        <v>17</v>
      </c>
      <c r="C10" s="20">
        <v>0</v>
      </c>
      <c r="D10" s="64">
        <f>$C10*('Last Year Actual'!C10/'Last Year Actual'!$O10)</f>
        <v>0</v>
      </c>
      <c r="E10" s="64">
        <f>$C10*('Last Year Actual'!D10/'Last Year Actual'!$O10)</f>
        <v>0</v>
      </c>
      <c r="F10" s="64">
        <f>$C10*('Last Year Actual'!E10/'Last Year Actual'!$O10)</f>
        <v>0</v>
      </c>
      <c r="G10" s="64">
        <f>$C10*('Last Year Actual'!F10/'Last Year Actual'!$O10)</f>
        <v>0</v>
      </c>
      <c r="H10" s="64">
        <f>$C10*('Last Year Actual'!G10/'Last Year Actual'!$O10)</f>
        <v>0</v>
      </c>
      <c r="I10" s="64">
        <f>$C10*('Last Year Actual'!H10/'Last Year Actual'!$O10)</f>
        <v>0</v>
      </c>
      <c r="J10" s="64">
        <f>$C10*('Last Year Actual'!I10/'Last Year Actual'!$O10)</f>
        <v>0</v>
      </c>
      <c r="K10" s="64">
        <f>$C10*('Last Year Actual'!J10/'Last Year Actual'!$O10)</f>
        <v>0</v>
      </c>
      <c r="L10" s="64">
        <f>$C10*('Last Year Actual'!K10/'Last Year Actual'!$O10)</f>
        <v>0</v>
      </c>
      <c r="M10" s="64">
        <f>$C10*('Last Year Actual'!L10/'Last Year Actual'!$O10)</f>
        <v>0</v>
      </c>
      <c r="N10" s="64">
        <f>$C10*('Last Year Actual'!M10/'Last Year Actual'!$O10)</f>
        <v>0</v>
      </c>
      <c r="O10" s="64">
        <f>$C10*('Last Year Actual'!N10/'Last Year Actual'!$O10)</f>
        <v>0</v>
      </c>
      <c r="P10" s="36">
        <f t="shared" si="2"/>
        <v>0</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9.5" customHeight="1">
      <c r="A11" s="17"/>
      <c r="B11" s="12" t="s">
        <v>18</v>
      </c>
      <c r="C11" s="20">
        <v>55000</v>
      </c>
      <c r="D11" s="64">
        <f>$C11*('Last Year Actual'!C11/'Last Year Actual'!$O11)</f>
        <v>2.199912003519859</v>
      </c>
      <c r="E11" s="64">
        <f>$C11*('Last Year Actual'!D11/'Last Year Actual'!$O11)</f>
        <v>0</v>
      </c>
      <c r="F11" s="64">
        <f>$C11*('Last Year Actual'!E11/'Last Year Actual'!$O11)</f>
        <v>0</v>
      </c>
      <c r="G11" s="64">
        <f>$C11*('Last Year Actual'!F11/'Last Year Actual'!$O11)</f>
        <v>0</v>
      </c>
      <c r="H11" s="64">
        <f>$C11*('Last Year Actual'!G11/'Last Year Actual'!$O11)</f>
        <v>0</v>
      </c>
      <c r="I11" s="64">
        <f>$C11*('Last Year Actual'!H11/'Last Year Actual'!$O11)</f>
        <v>54997.80008799648</v>
      </c>
      <c r="J11" s="64">
        <f>$C11*('Last Year Actual'!I11/'Last Year Actual'!$O11)</f>
        <v>0</v>
      </c>
      <c r="K11" s="64">
        <f>$C11*('Last Year Actual'!J11/'Last Year Actual'!$O11)</f>
        <v>0</v>
      </c>
      <c r="L11" s="64">
        <f>$C11*('Last Year Actual'!K11/'Last Year Actual'!$O11)</f>
        <v>0</v>
      </c>
      <c r="M11" s="64">
        <f>$C11*('Last Year Actual'!L11/'Last Year Actual'!$O11)</f>
        <v>0</v>
      </c>
      <c r="N11" s="64">
        <f>$C11*('Last Year Actual'!M11/'Last Year Actual'!$O11)</f>
        <v>0</v>
      </c>
      <c r="O11" s="64">
        <f>$C11*('Last Year Actual'!N11/'Last Year Actual'!$O11)</f>
        <v>0</v>
      </c>
      <c r="P11" s="36">
        <f t="shared" si="2"/>
        <v>55000</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9.5" customHeight="1">
      <c r="A12" s="42"/>
      <c r="B12" s="28" t="s">
        <v>19</v>
      </c>
      <c r="C12" s="20">
        <v>0</v>
      </c>
      <c r="D12" s="64">
        <f>$C12*('Last Year Actual'!C12/'Last Year Actual'!$O12)</f>
        <v>0</v>
      </c>
      <c r="E12" s="64">
        <f>$C12*('Last Year Actual'!D12/'Last Year Actual'!$O12)</f>
        <v>0</v>
      </c>
      <c r="F12" s="64">
        <f>$C12*('Last Year Actual'!E12/'Last Year Actual'!$O12)</f>
        <v>0</v>
      </c>
      <c r="G12" s="64">
        <f>$C12*('Last Year Actual'!F12/'Last Year Actual'!$O12)</f>
        <v>0</v>
      </c>
      <c r="H12" s="64">
        <f>$C12*('Last Year Actual'!G12/'Last Year Actual'!$O12)</f>
        <v>0</v>
      </c>
      <c r="I12" s="64">
        <f>$C12*('Last Year Actual'!H12/'Last Year Actual'!$O12)</f>
        <v>0</v>
      </c>
      <c r="J12" s="64">
        <f>$C12*('Last Year Actual'!I12/'Last Year Actual'!$O12)</f>
        <v>0</v>
      </c>
      <c r="K12" s="64">
        <f>$C12*('Last Year Actual'!J12/'Last Year Actual'!$O12)</f>
        <v>0</v>
      </c>
      <c r="L12" s="64">
        <f>$C12*('Last Year Actual'!K12/'Last Year Actual'!$O12)</f>
        <v>0</v>
      </c>
      <c r="M12" s="64">
        <f>$C12*('Last Year Actual'!L12/'Last Year Actual'!$O12)</f>
        <v>0</v>
      </c>
      <c r="N12" s="64">
        <f>$C12*('Last Year Actual'!M12/'Last Year Actual'!$O12)</f>
        <v>0</v>
      </c>
      <c r="O12" s="64">
        <f>$C12*('Last Year Actual'!N12/'Last Year Actual'!$O12)</f>
        <v>0</v>
      </c>
      <c r="P12" s="36">
        <f t="shared" si="2"/>
        <v>0</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9.5" customHeight="1">
      <c r="A13" s="42"/>
      <c r="B13" s="28" t="s">
        <v>20</v>
      </c>
      <c r="C13" s="20">
        <v>0</v>
      </c>
      <c r="D13" s="64">
        <f>$C13*('Last Year Actual'!C13/'Last Year Actual'!$O13)</f>
        <v>0</v>
      </c>
      <c r="E13" s="64">
        <f>$C13*('Last Year Actual'!D13/'Last Year Actual'!$O13)</f>
        <v>0</v>
      </c>
      <c r="F13" s="64">
        <f>$C13*('Last Year Actual'!E13/'Last Year Actual'!$O13)</f>
        <v>0</v>
      </c>
      <c r="G13" s="64">
        <f>$C13*('Last Year Actual'!F13/'Last Year Actual'!$O13)</f>
        <v>0</v>
      </c>
      <c r="H13" s="64">
        <f>$C13*('Last Year Actual'!G13/'Last Year Actual'!$O13)</f>
        <v>0</v>
      </c>
      <c r="I13" s="64">
        <f>$C13*('Last Year Actual'!H13/'Last Year Actual'!$O13)</f>
        <v>0</v>
      </c>
      <c r="J13" s="64">
        <f>$C13*('Last Year Actual'!I13/'Last Year Actual'!$O13)</f>
        <v>0</v>
      </c>
      <c r="K13" s="64">
        <f>$C13*('Last Year Actual'!J13/'Last Year Actual'!$O13)</f>
        <v>0</v>
      </c>
      <c r="L13" s="64">
        <f>$C13*('Last Year Actual'!K13/'Last Year Actual'!$O13)</f>
        <v>0</v>
      </c>
      <c r="M13" s="64">
        <f>$C13*('Last Year Actual'!L13/'Last Year Actual'!$O13)</f>
        <v>0</v>
      </c>
      <c r="N13" s="64">
        <f>$C13*('Last Year Actual'!M13/'Last Year Actual'!$O13)</f>
        <v>0</v>
      </c>
      <c r="O13" s="64">
        <f>$C13*('Last Year Actual'!N13/'Last Year Actual'!$O13)</f>
        <v>0</v>
      </c>
      <c r="P13" s="36">
        <f t="shared" si="2"/>
        <v>0</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9.5" customHeight="1">
      <c r="A14" s="43"/>
      <c r="B14" s="29" t="s">
        <v>21</v>
      </c>
      <c r="C14" s="20">
        <v>100000</v>
      </c>
      <c r="D14" s="64">
        <f>$C14*('Last Year Actual'!C14/'Last Year Actual'!$O14)</f>
        <v>100000</v>
      </c>
      <c r="E14" s="64">
        <f>$C14*('Last Year Actual'!D14/'Last Year Actual'!$O14)</f>
        <v>0</v>
      </c>
      <c r="F14" s="64">
        <f>$C14*('Last Year Actual'!E14/'Last Year Actual'!$O14)</f>
        <v>0</v>
      </c>
      <c r="G14" s="64">
        <f>$C14*('Last Year Actual'!F14/'Last Year Actual'!$O14)</f>
        <v>0</v>
      </c>
      <c r="H14" s="64">
        <f>$C14*('Last Year Actual'!G14/'Last Year Actual'!$O14)</f>
        <v>0</v>
      </c>
      <c r="I14" s="64">
        <f>$C14*('Last Year Actual'!H14/'Last Year Actual'!$O14)</f>
        <v>0</v>
      </c>
      <c r="J14" s="64">
        <f>$C14*('Last Year Actual'!I14/'Last Year Actual'!$O14)</f>
        <v>0</v>
      </c>
      <c r="K14" s="64">
        <f>$C14*('Last Year Actual'!J14/'Last Year Actual'!$O14)</f>
        <v>0</v>
      </c>
      <c r="L14" s="64">
        <f>$C14*('Last Year Actual'!K14/'Last Year Actual'!$O14)</f>
        <v>0</v>
      </c>
      <c r="M14" s="64">
        <f>$C14*('Last Year Actual'!L14/'Last Year Actual'!$O14)</f>
        <v>0</v>
      </c>
      <c r="N14" s="64">
        <f>$C14*('Last Year Actual'!M14/'Last Year Actual'!$O14)</f>
        <v>0</v>
      </c>
      <c r="O14" s="64">
        <f>$C14*('Last Year Actual'!N14/'Last Year Actual'!$O14)</f>
        <v>0</v>
      </c>
      <c r="P14" s="36">
        <f t="shared" si="2"/>
        <v>100000</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9.5" customHeight="1">
      <c r="A15" s="41"/>
      <c r="B15" s="30" t="s">
        <v>45</v>
      </c>
      <c r="C15" s="20">
        <v>200000</v>
      </c>
      <c r="D15" s="64">
        <f>$C15*('Last Year Actual'!C15/'Last Year Actual'!$O15)</f>
        <v>0.8888849382891632</v>
      </c>
      <c r="E15" s="64">
        <f>$C15*('Last Year Actual'!D15/'Last Year Actual'!$O15)</f>
        <v>0</v>
      </c>
      <c r="F15" s="64">
        <f>$C15*('Last Year Actual'!E15/'Last Year Actual'!$O15)</f>
        <v>0</v>
      </c>
      <c r="G15" s="64">
        <f>$C15*('Last Year Actual'!F15/'Last Year Actual'!$O15)</f>
        <v>0</v>
      </c>
      <c r="H15" s="64">
        <f>$C15*('Last Year Actual'!G15/'Last Year Actual'!$O15)</f>
        <v>0</v>
      </c>
      <c r="I15" s="64">
        <f>$C15*('Last Year Actual'!H15/'Last Year Actual'!$O15)</f>
        <v>0</v>
      </c>
      <c r="J15" s="64">
        <f>$C15*('Last Year Actual'!I15/'Last Year Actual'!$O15)</f>
        <v>0</v>
      </c>
      <c r="K15" s="64">
        <f>$C15*('Last Year Actual'!J15/'Last Year Actual'!$O15)</f>
        <v>0</v>
      </c>
      <c r="L15" s="64">
        <f>$C15*('Last Year Actual'!K15/'Last Year Actual'!$O15)</f>
        <v>66666.37037168724</v>
      </c>
      <c r="M15" s="64">
        <f>$C15*('Last Year Actual'!L15/'Last Year Actual'!$O15)</f>
        <v>133332.74074337448</v>
      </c>
      <c r="N15" s="64">
        <f>$C15*('Last Year Actual'!M15/'Last Year Actual'!$O15)</f>
        <v>0</v>
      </c>
      <c r="O15" s="64">
        <f>$C15*('Last Year Actual'!N15/'Last Year Actual'!$O15)</f>
        <v>0</v>
      </c>
      <c r="P15" s="36">
        <f t="shared" si="2"/>
        <v>200000</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3.75" customHeight="1">
      <c r="A16" s="17"/>
      <c r="B16" s="13"/>
      <c r="C16" s="3"/>
      <c r="D16" s="3"/>
      <c r="E16" s="3"/>
      <c r="F16" s="3"/>
      <c r="G16" s="3"/>
      <c r="H16" s="3"/>
      <c r="I16" s="3"/>
      <c r="J16" s="3"/>
      <c r="K16" s="3"/>
      <c r="L16" s="3"/>
      <c r="M16" s="3"/>
      <c r="N16" s="3"/>
      <c r="O16" s="3"/>
      <c r="P16" s="37"/>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16" s="4" customFormat="1" ht="19.5" customHeight="1">
      <c r="A17" s="31"/>
      <c r="B17" s="11" t="s">
        <v>22</v>
      </c>
      <c r="C17" s="7">
        <f>SUM(C18:C24)</f>
        <v>200500</v>
      </c>
      <c r="D17" s="7">
        <f aca="true" t="shared" si="3" ref="D17:P17">SUM(D18:D24)</f>
        <v>200500</v>
      </c>
      <c r="E17" s="7">
        <f t="shared" si="3"/>
        <v>0</v>
      </c>
      <c r="F17" s="7">
        <f t="shared" si="3"/>
        <v>0</v>
      </c>
      <c r="G17" s="7">
        <f t="shared" si="3"/>
        <v>0</v>
      </c>
      <c r="H17" s="7">
        <f t="shared" si="3"/>
        <v>0</v>
      </c>
      <c r="I17" s="7">
        <f t="shared" si="3"/>
        <v>0</v>
      </c>
      <c r="J17" s="7">
        <f t="shared" si="3"/>
        <v>0</v>
      </c>
      <c r="K17" s="7">
        <f t="shared" si="3"/>
        <v>0</v>
      </c>
      <c r="L17" s="7">
        <f t="shared" si="3"/>
        <v>0</v>
      </c>
      <c r="M17" s="7">
        <f t="shared" si="3"/>
        <v>0</v>
      </c>
      <c r="N17" s="7">
        <f t="shared" si="3"/>
        <v>0</v>
      </c>
      <c r="O17" s="7">
        <f t="shared" si="3"/>
        <v>0</v>
      </c>
      <c r="P17" s="35">
        <f t="shared" si="3"/>
        <v>200500</v>
      </c>
    </row>
    <row r="18" spans="1:255" ht="19.5" customHeight="1">
      <c r="A18" s="41"/>
      <c r="B18" s="27" t="s">
        <v>23</v>
      </c>
      <c r="C18" s="20">
        <v>0</v>
      </c>
      <c r="D18" s="64">
        <f>$C18*('Last Year Actual'!C18/'Last Year Actual'!$O18)</f>
        <v>0</v>
      </c>
      <c r="E18" s="64">
        <f>$C18*('Last Year Actual'!D18/'Last Year Actual'!$O18)</f>
        <v>0</v>
      </c>
      <c r="F18" s="64">
        <f>$C18*('Last Year Actual'!E18/'Last Year Actual'!$O18)</f>
        <v>0</v>
      </c>
      <c r="G18" s="64">
        <f>$C18*('Last Year Actual'!F18/'Last Year Actual'!$O18)</f>
        <v>0</v>
      </c>
      <c r="H18" s="64">
        <f>$C18*('Last Year Actual'!G18/'Last Year Actual'!$O18)</f>
        <v>0</v>
      </c>
      <c r="I18" s="64">
        <f>$C18*('Last Year Actual'!H18/'Last Year Actual'!$O18)</f>
        <v>0</v>
      </c>
      <c r="J18" s="64">
        <f>$C18*('Last Year Actual'!I18/'Last Year Actual'!$O18)</f>
        <v>0</v>
      </c>
      <c r="K18" s="64">
        <f>$C18*('Last Year Actual'!J18/'Last Year Actual'!$O18)</f>
        <v>0</v>
      </c>
      <c r="L18" s="64">
        <f>$C18*('Last Year Actual'!K18/'Last Year Actual'!$O18)</f>
        <v>0</v>
      </c>
      <c r="M18" s="64">
        <f>$C18*('Last Year Actual'!L18/'Last Year Actual'!$O18)</f>
        <v>0</v>
      </c>
      <c r="N18" s="64">
        <f>$C18*('Last Year Actual'!M18/'Last Year Actual'!$O18)</f>
        <v>0</v>
      </c>
      <c r="O18" s="64">
        <f>$C18*('Last Year Actual'!N18/'Last Year Actual'!$O18)</f>
        <v>0</v>
      </c>
      <c r="P18" s="36">
        <f>SUM(D18:O18)</f>
        <v>0</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9.5" customHeight="1">
      <c r="A19" s="17"/>
      <c r="B19" s="12" t="s">
        <v>24</v>
      </c>
      <c r="C19" s="20">
        <v>0</v>
      </c>
      <c r="D19" s="64">
        <f>$C19*('Last Year Actual'!C19/'Last Year Actual'!$O19)</f>
        <v>0</v>
      </c>
      <c r="E19" s="64">
        <f>$C19*('Last Year Actual'!D19/'Last Year Actual'!$O19)</f>
        <v>0</v>
      </c>
      <c r="F19" s="64">
        <f>$C19*('Last Year Actual'!E19/'Last Year Actual'!$O19)</f>
        <v>0</v>
      </c>
      <c r="G19" s="64">
        <f>$C19*('Last Year Actual'!F19/'Last Year Actual'!$O19)</f>
        <v>0</v>
      </c>
      <c r="H19" s="64">
        <f>$C19*('Last Year Actual'!G19/'Last Year Actual'!$O19)</f>
        <v>0</v>
      </c>
      <c r="I19" s="64">
        <f>$C19*('Last Year Actual'!H19/'Last Year Actual'!$O19)</f>
        <v>0</v>
      </c>
      <c r="J19" s="64">
        <f>$C19*('Last Year Actual'!I19/'Last Year Actual'!$O19)</f>
        <v>0</v>
      </c>
      <c r="K19" s="64">
        <f>$C19*('Last Year Actual'!J19/'Last Year Actual'!$O19)</f>
        <v>0</v>
      </c>
      <c r="L19" s="64">
        <f>$C19*('Last Year Actual'!K19/'Last Year Actual'!$O19)</f>
        <v>0</v>
      </c>
      <c r="M19" s="64">
        <f>$C19*('Last Year Actual'!L19/'Last Year Actual'!$O19)</f>
        <v>0</v>
      </c>
      <c r="N19" s="64">
        <f>$C19*('Last Year Actual'!M19/'Last Year Actual'!$O19)</f>
        <v>0</v>
      </c>
      <c r="O19" s="64">
        <f>$C19*('Last Year Actual'!N19/'Last Year Actual'!$O19)</f>
        <v>0</v>
      </c>
      <c r="P19" s="36">
        <f aca="true" t="shared" si="4" ref="P19:P24">SUM(D19:O19)</f>
        <v>0</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9.5" customHeight="1">
      <c r="A20" s="41"/>
      <c r="B20" s="27" t="s">
        <v>25</v>
      </c>
      <c r="C20" s="20">
        <v>0</v>
      </c>
      <c r="D20" s="64">
        <f>$C20*('Last Year Actual'!C20/'Last Year Actual'!$O20)</f>
        <v>0</v>
      </c>
      <c r="E20" s="64">
        <f>$C20*('Last Year Actual'!D20/'Last Year Actual'!$O20)</f>
        <v>0</v>
      </c>
      <c r="F20" s="64">
        <f>$C20*('Last Year Actual'!E20/'Last Year Actual'!$O20)</f>
        <v>0</v>
      </c>
      <c r="G20" s="64">
        <f>$C20*('Last Year Actual'!F20/'Last Year Actual'!$O20)</f>
        <v>0</v>
      </c>
      <c r="H20" s="64">
        <f>$C20*('Last Year Actual'!G20/'Last Year Actual'!$O20)</f>
        <v>0</v>
      </c>
      <c r="I20" s="64">
        <f>$C20*('Last Year Actual'!H20/'Last Year Actual'!$O20)</f>
        <v>0</v>
      </c>
      <c r="J20" s="64">
        <f>$C20*('Last Year Actual'!I20/'Last Year Actual'!$O20)</f>
        <v>0</v>
      </c>
      <c r="K20" s="64">
        <f>$C20*('Last Year Actual'!J20/'Last Year Actual'!$O20)</f>
        <v>0</v>
      </c>
      <c r="L20" s="64">
        <f>$C20*('Last Year Actual'!K20/'Last Year Actual'!$O20)</f>
        <v>0</v>
      </c>
      <c r="M20" s="64">
        <f>$C20*('Last Year Actual'!L20/'Last Year Actual'!$O20)</f>
        <v>0</v>
      </c>
      <c r="N20" s="64">
        <f>$C20*('Last Year Actual'!M20/'Last Year Actual'!$O20)</f>
        <v>0</v>
      </c>
      <c r="O20" s="64">
        <f>$C20*('Last Year Actual'!N20/'Last Year Actual'!$O20)</f>
        <v>0</v>
      </c>
      <c r="P20" s="36">
        <f t="shared" si="4"/>
        <v>0</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9.5" customHeight="1">
      <c r="A21" s="17"/>
      <c r="B21" s="13" t="s">
        <v>43</v>
      </c>
      <c r="C21" s="20">
        <v>190000</v>
      </c>
      <c r="D21" s="64">
        <f>$C21*('Last Year Actual'!C21/'Last Year Actual'!$O21)</f>
        <v>190000</v>
      </c>
      <c r="E21" s="64">
        <f>$C21*('Last Year Actual'!D21/'Last Year Actual'!$O21)</f>
        <v>0</v>
      </c>
      <c r="F21" s="64">
        <f>$C21*('Last Year Actual'!E21/'Last Year Actual'!$O21)</f>
        <v>0</v>
      </c>
      <c r="G21" s="64">
        <f>$C21*('Last Year Actual'!F21/'Last Year Actual'!$O21)</f>
        <v>0</v>
      </c>
      <c r="H21" s="64">
        <f>$C21*('Last Year Actual'!G21/'Last Year Actual'!$O21)</f>
        <v>0</v>
      </c>
      <c r="I21" s="64">
        <f>$C21*('Last Year Actual'!H21/'Last Year Actual'!$O21)</f>
        <v>0</v>
      </c>
      <c r="J21" s="64">
        <f>$C21*('Last Year Actual'!I21/'Last Year Actual'!$O21)</f>
        <v>0</v>
      </c>
      <c r="K21" s="64">
        <f>$C21*('Last Year Actual'!J21/'Last Year Actual'!$O21)</f>
        <v>0</v>
      </c>
      <c r="L21" s="64">
        <f>$C21*('Last Year Actual'!K21/'Last Year Actual'!$O21)</f>
        <v>0</v>
      </c>
      <c r="M21" s="64">
        <f>$C21*('Last Year Actual'!L21/'Last Year Actual'!$O21)</f>
        <v>0</v>
      </c>
      <c r="N21" s="64">
        <f>$C21*('Last Year Actual'!M21/'Last Year Actual'!$O21)</f>
        <v>0</v>
      </c>
      <c r="O21" s="64">
        <f>$C21*('Last Year Actual'!N21/'Last Year Actual'!$O21)</f>
        <v>0</v>
      </c>
      <c r="P21" s="36">
        <f t="shared" si="4"/>
        <v>190000</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19.5" customHeight="1">
      <c r="A22" s="41"/>
      <c r="B22" s="30" t="s">
        <v>44</v>
      </c>
      <c r="C22" s="20">
        <v>0</v>
      </c>
      <c r="D22" s="64">
        <f>$C22*('Last Year Actual'!C22/'Last Year Actual'!$O22)</f>
        <v>0</v>
      </c>
      <c r="E22" s="64">
        <f>$C22*('Last Year Actual'!D22/'Last Year Actual'!$O22)</f>
        <v>0</v>
      </c>
      <c r="F22" s="64">
        <f>$C22*('Last Year Actual'!E22/'Last Year Actual'!$O22)</f>
        <v>0</v>
      </c>
      <c r="G22" s="64">
        <f>$C22*('Last Year Actual'!F22/'Last Year Actual'!$O22)</f>
        <v>0</v>
      </c>
      <c r="H22" s="64">
        <f>$C22*('Last Year Actual'!G22/'Last Year Actual'!$O22)</f>
        <v>0</v>
      </c>
      <c r="I22" s="64">
        <f>$C22*('Last Year Actual'!H22/'Last Year Actual'!$O22)</f>
        <v>0</v>
      </c>
      <c r="J22" s="64">
        <f>$C22*('Last Year Actual'!I22/'Last Year Actual'!$O22)</f>
        <v>0</v>
      </c>
      <c r="K22" s="64">
        <f>$C22*('Last Year Actual'!J22/'Last Year Actual'!$O22)</f>
        <v>0</v>
      </c>
      <c r="L22" s="64">
        <f>$C22*('Last Year Actual'!K22/'Last Year Actual'!$O22)</f>
        <v>0</v>
      </c>
      <c r="M22" s="64">
        <f>$C22*('Last Year Actual'!L22/'Last Year Actual'!$O22)</f>
        <v>0</v>
      </c>
      <c r="N22" s="64">
        <f>$C22*('Last Year Actual'!M22/'Last Year Actual'!$O22)</f>
        <v>0</v>
      </c>
      <c r="O22" s="64">
        <f>$C22*('Last Year Actual'!N22/'Last Year Actual'!$O22)</f>
        <v>0</v>
      </c>
      <c r="P22" s="36">
        <f t="shared" si="4"/>
        <v>0</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9.5" customHeight="1">
      <c r="A23" s="41"/>
      <c r="B23" s="27" t="s">
        <v>26</v>
      </c>
      <c r="C23" s="20">
        <v>10500</v>
      </c>
      <c r="D23" s="64">
        <f>$C23*('Last Year Actual'!C23/'Last Year Actual'!$O23)</f>
        <v>10500</v>
      </c>
      <c r="E23" s="64">
        <f>$C23*('Last Year Actual'!D23/'Last Year Actual'!$O23)</f>
        <v>0</v>
      </c>
      <c r="F23" s="64">
        <f>$C23*('Last Year Actual'!E23/'Last Year Actual'!$O23)</f>
        <v>0</v>
      </c>
      <c r="G23" s="64">
        <f>$C23*('Last Year Actual'!F23/'Last Year Actual'!$O23)</f>
        <v>0</v>
      </c>
      <c r="H23" s="64">
        <f>$C23*('Last Year Actual'!G23/'Last Year Actual'!$O23)</f>
        <v>0</v>
      </c>
      <c r="I23" s="64">
        <f>$C23*('Last Year Actual'!H23/'Last Year Actual'!$O23)</f>
        <v>0</v>
      </c>
      <c r="J23" s="64">
        <f>$C23*('Last Year Actual'!I23/'Last Year Actual'!$O23)</f>
        <v>0</v>
      </c>
      <c r="K23" s="64">
        <f>$C23*('Last Year Actual'!J23/'Last Year Actual'!$O23)</f>
        <v>0</v>
      </c>
      <c r="L23" s="64">
        <f>$C23*('Last Year Actual'!K23/'Last Year Actual'!$O23)</f>
        <v>0</v>
      </c>
      <c r="M23" s="64">
        <f>$C23*('Last Year Actual'!L23/'Last Year Actual'!$O23)</f>
        <v>0</v>
      </c>
      <c r="N23" s="64">
        <f>$C23*('Last Year Actual'!M23/'Last Year Actual'!$O23)</f>
        <v>0</v>
      </c>
      <c r="O23" s="64">
        <f>$C23*('Last Year Actual'!N23/'Last Year Actual'!$O23)</f>
        <v>0</v>
      </c>
      <c r="P23" s="36">
        <f t="shared" si="4"/>
        <v>10500</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9.5" customHeight="1" thickBot="1">
      <c r="A24" s="18"/>
      <c r="B24" s="19" t="s">
        <v>27</v>
      </c>
      <c r="C24" s="38">
        <v>0</v>
      </c>
      <c r="D24" s="68">
        <f>$C24*('Last Year Actual'!C24/'Last Year Actual'!$O24)</f>
        <v>0</v>
      </c>
      <c r="E24" s="68">
        <f>$C24*('Last Year Actual'!D24/'Last Year Actual'!$O24)</f>
        <v>0</v>
      </c>
      <c r="F24" s="68">
        <f>$C24*('Last Year Actual'!E24/'Last Year Actual'!$O24)</f>
        <v>0</v>
      </c>
      <c r="G24" s="68">
        <f>$C24*('Last Year Actual'!F24/'Last Year Actual'!$O24)</f>
        <v>0</v>
      </c>
      <c r="H24" s="68">
        <f>$C24*('Last Year Actual'!G24/'Last Year Actual'!$O24)</f>
        <v>0</v>
      </c>
      <c r="I24" s="68">
        <f>$C24*('Last Year Actual'!H24/'Last Year Actual'!$O24)</f>
        <v>0</v>
      </c>
      <c r="J24" s="68">
        <f>$C24*('Last Year Actual'!I24/'Last Year Actual'!$O24)</f>
        <v>0</v>
      </c>
      <c r="K24" s="68">
        <f>$C24*('Last Year Actual'!J24/'Last Year Actual'!$O24)</f>
        <v>0</v>
      </c>
      <c r="L24" s="68">
        <f>$C24*('Last Year Actual'!K24/'Last Year Actual'!$O24)</f>
        <v>0</v>
      </c>
      <c r="M24" s="68">
        <f>$C24*('Last Year Actual'!L24/'Last Year Actual'!$O24)</f>
        <v>0</v>
      </c>
      <c r="N24" s="68">
        <f>$C24*('Last Year Actual'!M24/'Last Year Actual'!$O24)</f>
        <v>0</v>
      </c>
      <c r="O24" s="68">
        <f>$C24*('Last Year Actual'!N24/'Last Year Actual'!$O24)</f>
        <v>0</v>
      </c>
      <c r="P24" s="36">
        <f t="shared" si="4"/>
        <v>0</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1.25" customHeight="1" thickBot="1">
      <c r="A25" s="1"/>
      <c r="B25" s="2"/>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ht="19.5" customHeight="1">
      <c r="A26" s="50" t="s">
        <v>28</v>
      </c>
      <c r="B26" s="61"/>
      <c r="C26" s="51">
        <f aca="true" t="shared" si="5" ref="C26:P26">SUM(C27:C38)</f>
        <v>1569002.04</v>
      </c>
      <c r="D26" s="51">
        <f t="shared" si="5"/>
        <v>7.948792151132407</v>
      </c>
      <c r="E26" s="51">
        <f t="shared" si="5"/>
        <v>129908.73556173922</v>
      </c>
      <c r="F26" s="51">
        <f t="shared" si="5"/>
        <v>129908.73556173922</v>
      </c>
      <c r="G26" s="51">
        <f t="shared" si="5"/>
        <v>129908.73556173922</v>
      </c>
      <c r="H26" s="51">
        <f t="shared" si="5"/>
        <v>129908.73556173922</v>
      </c>
      <c r="I26" s="51">
        <f t="shared" si="5"/>
        <v>129908.73556173922</v>
      </c>
      <c r="J26" s="51">
        <f t="shared" si="5"/>
        <v>129908.73556173922</v>
      </c>
      <c r="K26" s="51">
        <f t="shared" si="5"/>
        <v>129908.73556173922</v>
      </c>
      <c r="L26" s="51">
        <f t="shared" si="5"/>
        <v>194907.7355771236</v>
      </c>
      <c r="M26" s="51">
        <f t="shared" si="5"/>
        <v>204907.73557507235</v>
      </c>
      <c r="N26" s="51">
        <f t="shared" si="5"/>
        <v>129908.73556173922</v>
      </c>
      <c r="O26" s="51">
        <f t="shared" si="5"/>
        <v>129908.73556173922</v>
      </c>
      <c r="P26" s="52">
        <f t="shared" si="5"/>
        <v>1569002.04</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ht="19.5" customHeight="1">
      <c r="A27" s="41"/>
      <c r="B27" s="27" t="s">
        <v>29</v>
      </c>
      <c r="C27" s="20">
        <v>841501.02</v>
      </c>
      <c r="D27" s="64">
        <f>$C27*('Last Year Actual'!C27/'Last Year Actual'!$O27)</f>
        <v>1.02</v>
      </c>
      <c r="E27" s="64">
        <f>$C27*('Last Year Actual'!D27/'Last Year Actual'!$O27)</f>
        <v>76500</v>
      </c>
      <c r="F27" s="64">
        <f>$C27*('Last Year Actual'!E27/'Last Year Actual'!$O27)</f>
        <v>76500</v>
      </c>
      <c r="G27" s="64">
        <f>$C27*('Last Year Actual'!F27/'Last Year Actual'!$O27)</f>
        <v>76500</v>
      </c>
      <c r="H27" s="64">
        <f>$C27*('Last Year Actual'!G27/'Last Year Actual'!$O27)</f>
        <v>76500</v>
      </c>
      <c r="I27" s="64">
        <f>$C27*('Last Year Actual'!H27/'Last Year Actual'!$O27)</f>
        <v>76500</v>
      </c>
      <c r="J27" s="64">
        <f>$C27*('Last Year Actual'!I27/'Last Year Actual'!$O27)</f>
        <v>76500</v>
      </c>
      <c r="K27" s="64">
        <f>$C27*('Last Year Actual'!J27/'Last Year Actual'!$O27)</f>
        <v>76500</v>
      </c>
      <c r="L27" s="64">
        <f>$C27*('Last Year Actual'!K27/'Last Year Actual'!$O27)</f>
        <v>76500</v>
      </c>
      <c r="M27" s="64">
        <f>$C27*('Last Year Actual'!L27/'Last Year Actual'!$O27)</f>
        <v>76500</v>
      </c>
      <c r="N27" s="64">
        <f>$C27*('Last Year Actual'!M27/'Last Year Actual'!$O27)</f>
        <v>76500</v>
      </c>
      <c r="O27" s="64">
        <f>$C27*('Last Year Actual'!N27/'Last Year Actual'!$O27)</f>
        <v>76500</v>
      </c>
      <c r="P27" s="53">
        <f>SUM(D27:O27)</f>
        <v>841501.02</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9.5" customHeight="1">
      <c r="A28" s="41"/>
      <c r="B28" s="27" t="s">
        <v>30</v>
      </c>
      <c r="C28" s="20">
        <v>280501.02</v>
      </c>
      <c r="D28" s="64">
        <f>$C28*('Last Year Actual'!C28/'Last Year Actual'!$O28)</f>
        <v>1.02</v>
      </c>
      <c r="E28" s="64">
        <f>$C28*('Last Year Actual'!D28/'Last Year Actual'!$O28)</f>
        <v>25500</v>
      </c>
      <c r="F28" s="64">
        <f>$C28*('Last Year Actual'!E28/'Last Year Actual'!$O28)</f>
        <v>25500</v>
      </c>
      <c r="G28" s="64">
        <f>$C28*('Last Year Actual'!F28/'Last Year Actual'!$O28)</f>
        <v>25500</v>
      </c>
      <c r="H28" s="64">
        <f>$C28*('Last Year Actual'!G28/'Last Year Actual'!$O28)</f>
        <v>25500</v>
      </c>
      <c r="I28" s="64">
        <f>$C28*('Last Year Actual'!H28/'Last Year Actual'!$O28)</f>
        <v>25500</v>
      </c>
      <c r="J28" s="64">
        <f>$C28*('Last Year Actual'!I28/'Last Year Actual'!$O28)</f>
        <v>25500</v>
      </c>
      <c r="K28" s="64">
        <f>$C28*('Last Year Actual'!J28/'Last Year Actual'!$O28)</f>
        <v>25500</v>
      </c>
      <c r="L28" s="64">
        <f>$C28*('Last Year Actual'!K28/'Last Year Actual'!$O28)</f>
        <v>25500</v>
      </c>
      <c r="M28" s="64">
        <f>$C28*('Last Year Actual'!L28/'Last Year Actual'!$O28)</f>
        <v>25500</v>
      </c>
      <c r="N28" s="64">
        <f>$C28*('Last Year Actual'!M28/'Last Year Actual'!$O28)</f>
        <v>25500</v>
      </c>
      <c r="O28" s="64">
        <f>$C28*('Last Year Actual'!N28/'Last Year Actual'!$O28)</f>
        <v>25500</v>
      </c>
      <c r="P28" s="53">
        <f aca="true" t="shared" si="6" ref="P28:P38">SUM(D28:O28)</f>
        <v>280501.02</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19.5" customHeight="1">
      <c r="A29" s="41"/>
      <c r="B29" s="27" t="s">
        <v>31</v>
      </c>
      <c r="C29" s="20">
        <v>162000</v>
      </c>
      <c r="D29" s="64">
        <f>$C29*('Last Year Actual'!C29/'Last Year Actual'!$O29)</f>
        <v>0.9818122314410215</v>
      </c>
      <c r="E29" s="64">
        <f>$C29*('Last Year Actual'!D29/'Last Year Actual'!$O29)</f>
        <v>14727.183471615324</v>
      </c>
      <c r="F29" s="64">
        <f>$C29*('Last Year Actual'!E29/'Last Year Actual'!$O29)</f>
        <v>14727.183471615324</v>
      </c>
      <c r="G29" s="64">
        <f>$C29*('Last Year Actual'!F29/'Last Year Actual'!$O29)</f>
        <v>14727.183471615324</v>
      </c>
      <c r="H29" s="64">
        <f>$C29*('Last Year Actual'!G29/'Last Year Actual'!$O29)</f>
        <v>14727.183471615324</v>
      </c>
      <c r="I29" s="64">
        <f>$C29*('Last Year Actual'!H29/'Last Year Actual'!$O29)</f>
        <v>14727.183471615324</v>
      </c>
      <c r="J29" s="64">
        <f>$C29*('Last Year Actual'!I29/'Last Year Actual'!$O29)</f>
        <v>14727.183471615324</v>
      </c>
      <c r="K29" s="64">
        <f>$C29*('Last Year Actual'!J29/'Last Year Actual'!$O29)</f>
        <v>14727.183471615324</v>
      </c>
      <c r="L29" s="64">
        <f>$C29*('Last Year Actual'!K29/'Last Year Actual'!$O29)</f>
        <v>14727.183471615324</v>
      </c>
      <c r="M29" s="64">
        <f>$C29*('Last Year Actual'!L29/'Last Year Actual'!$O29)</f>
        <v>14727.183471615324</v>
      </c>
      <c r="N29" s="64">
        <f>$C29*('Last Year Actual'!M29/'Last Year Actual'!$O29)</f>
        <v>14727.183471615324</v>
      </c>
      <c r="O29" s="64">
        <f>$C29*('Last Year Actual'!N29/'Last Year Actual'!$O29)</f>
        <v>14727.183471615324</v>
      </c>
      <c r="P29" s="53">
        <f t="shared" si="6"/>
        <v>162000</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19.5" customHeight="1">
      <c r="A30" s="41"/>
      <c r="B30" s="27" t="s">
        <v>32</v>
      </c>
      <c r="C30" s="20">
        <v>40000</v>
      </c>
      <c r="D30" s="64">
        <f>$C30*('Last Year Actual'!C30/'Last Year Actual'!$O30)</f>
        <v>1.038934053660944</v>
      </c>
      <c r="E30" s="64">
        <f>$C30*('Last Year Actual'!D30/'Last Year Actual'!$O30)</f>
        <v>3636.2691878133037</v>
      </c>
      <c r="F30" s="64">
        <f>$C30*('Last Year Actual'!E30/'Last Year Actual'!$O30)</f>
        <v>3636.2691878133037</v>
      </c>
      <c r="G30" s="64">
        <f>$C30*('Last Year Actual'!F30/'Last Year Actual'!$O30)</f>
        <v>3636.2691878133037</v>
      </c>
      <c r="H30" s="64">
        <f>$C30*('Last Year Actual'!G30/'Last Year Actual'!$O30)</f>
        <v>3636.2691878133037</v>
      </c>
      <c r="I30" s="64">
        <f>$C30*('Last Year Actual'!H30/'Last Year Actual'!$O30)</f>
        <v>3636.2691878133037</v>
      </c>
      <c r="J30" s="64">
        <f>$C30*('Last Year Actual'!I30/'Last Year Actual'!$O30)</f>
        <v>3636.2691878133037</v>
      </c>
      <c r="K30" s="64">
        <f>$C30*('Last Year Actual'!J30/'Last Year Actual'!$O30)</f>
        <v>3636.2691878133037</v>
      </c>
      <c r="L30" s="64">
        <f>$C30*('Last Year Actual'!K30/'Last Year Actual'!$O30)</f>
        <v>3636.2691878133037</v>
      </c>
      <c r="M30" s="64">
        <f>$C30*('Last Year Actual'!L30/'Last Year Actual'!$O30)</f>
        <v>3636.2691878133037</v>
      </c>
      <c r="N30" s="64">
        <f>$C30*('Last Year Actual'!M30/'Last Year Actual'!$O30)</f>
        <v>3636.2691878133037</v>
      </c>
      <c r="O30" s="64">
        <f>$C30*('Last Year Actual'!N30/'Last Year Actual'!$O30)</f>
        <v>3636.2691878133037</v>
      </c>
      <c r="P30" s="53">
        <f t="shared" si="6"/>
        <v>40000.00000000001</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9.5" customHeight="1">
      <c r="A31" s="41"/>
      <c r="B31" s="30" t="s">
        <v>40</v>
      </c>
      <c r="C31" s="20">
        <v>75000</v>
      </c>
      <c r="D31" s="64">
        <f>$C31*('Last Year Actual'!C31/'Last Year Actual'!$O31)</f>
        <v>0.999986666844442</v>
      </c>
      <c r="E31" s="64">
        <f>$C31*('Last Year Actual'!D31/'Last Year Actual'!$O31)</f>
        <v>0</v>
      </c>
      <c r="F31" s="64">
        <f>$C31*('Last Year Actual'!E31/'Last Year Actual'!$O31)</f>
        <v>0</v>
      </c>
      <c r="G31" s="64">
        <f>$C31*('Last Year Actual'!F31/'Last Year Actual'!$O31)</f>
        <v>0</v>
      </c>
      <c r="H31" s="64">
        <f>$C31*('Last Year Actual'!G31/'Last Year Actual'!$O31)</f>
        <v>0</v>
      </c>
      <c r="I31" s="64">
        <f>$C31*('Last Year Actual'!H31/'Last Year Actual'!$O31)</f>
        <v>0</v>
      </c>
      <c r="J31" s="64">
        <f>$C31*('Last Year Actual'!I31/'Last Year Actual'!$O31)</f>
        <v>0</v>
      </c>
      <c r="K31" s="64">
        <f>$C31*('Last Year Actual'!J31/'Last Year Actual'!$O31)</f>
        <v>0</v>
      </c>
      <c r="L31" s="64">
        <f>$C31*('Last Year Actual'!K31/'Last Year Actual'!$O31)</f>
        <v>0</v>
      </c>
      <c r="M31" s="64">
        <f>$C31*('Last Year Actual'!L31/'Last Year Actual'!$O31)</f>
        <v>74999.00001333315</v>
      </c>
      <c r="N31" s="64">
        <f>$C31*('Last Year Actual'!M31/'Last Year Actual'!$O31)</f>
        <v>0</v>
      </c>
      <c r="O31" s="64">
        <f>$C31*('Last Year Actual'!N31/'Last Year Actual'!$O31)</f>
        <v>0</v>
      </c>
      <c r="P31" s="53">
        <f t="shared" si="6"/>
        <v>75000</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19.5" customHeight="1">
      <c r="A32" s="41"/>
      <c r="B32" s="30" t="s">
        <v>41</v>
      </c>
      <c r="C32" s="20">
        <v>35000</v>
      </c>
      <c r="D32" s="64">
        <f>$C32*('Last Year Actual'!C32/'Last Year Actual'!$O32)</f>
        <v>0.9090672969533259</v>
      </c>
      <c r="E32" s="64">
        <f>$C32*('Last Year Actual'!D32/'Last Year Actual'!$O32)</f>
        <v>3181.7355393366406</v>
      </c>
      <c r="F32" s="64">
        <f>$C32*('Last Year Actual'!E32/'Last Year Actual'!$O32)</f>
        <v>3181.7355393366406</v>
      </c>
      <c r="G32" s="64">
        <f>$C32*('Last Year Actual'!F32/'Last Year Actual'!$O32)</f>
        <v>3181.7355393366406</v>
      </c>
      <c r="H32" s="64">
        <f>$C32*('Last Year Actual'!G32/'Last Year Actual'!$O32)</f>
        <v>3181.7355393366406</v>
      </c>
      <c r="I32" s="64">
        <f>$C32*('Last Year Actual'!H32/'Last Year Actual'!$O32)</f>
        <v>3181.7355393366406</v>
      </c>
      <c r="J32" s="64">
        <f>$C32*('Last Year Actual'!I32/'Last Year Actual'!$O32)</f>
        <v>3181.7355393366406</v>
      </c>
      <c r="K32" s="64">
        <f>$C32*('Last Year Actual'!J32/'Last Year Actual'!$O32)</f>
        <v>3181.7355393366406</v>
      </c>
      <c r="L32" s="64">
        <f>$C32*('Last Year Actual'!K32/'Last Year Actual'!$O32)</f>
        <v>3181.7355393366406</v>
      </c>
      <c r="M32" s="64">
        <f>$C32*('Last Year Actual'!L32/'Last Year Actual'!$O32)</f>
        <v>3181.7355393366406</v>
      </c>
      <c r="N32" s="64">
        <f>$C32*('Last Year Actual'!M32/'Last Year Actual'!$O32)</f>
        <v>3181.7355393366406</v>
      </c>
      <c r="O32" s="64">
        <f>$C32*('Last Year Actual'!N32/'Last Year Actual'!$O32)</f>
        <v>3181.7355393366406</v>
      </c>
      <c r="P32" s="53">
        <f t="shared" si="6"/>
        <v>35000.00000000001</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19.5" customHeight="1">
      <c r="A33" s="41"/>
      <c r="B33" s="30" t="s">
        <v>47</v>
      </c>
      <c r="C33" s="20">
        <v>65000</v>
      </c>
      <c r="D33" s="64">
        <f>$C33*('Last Year Actual'!C33/'Last Year Actual'!$O33)</f>
        <v>0.999984615621298</v>
      </c>
      <c r="E33" s="64">
        <f>$C33*('Last Year Actual'!D33/'Last Year Actual'!$O33)</f>
        <v>0</v>
      </c>
      <c r="F33" s="64">
        <f>$C33*('Last Year Actual'!E33/'Last Year Actual'!$O33)</f>
        <v>0</v>
      </c>
      <c r="G33" s="64">
        <f>$C33*('Last Year Actual'!F33/'Last Year Actual'!$O33)</f>
        <v>0</v>
      </c>
      <c r="H33" s="64">
        <f>$C33*('Last Year Actual'!G33/'Last Year Actual'!$O33)</f>
        <v>0</v>
      </c>
      <c r="I33" s="64">
        <f>$C33*('Last Year Actual'!H33/'Last Year Actual'!$O33)</f>
        <v>0</v>
      </c>
      <c r="J33" s="64">
        <f>$C33*('Last Year Actual'!I33/'Last Year Actual'!$O33)</f>
        <v>0</v>
      </c>
      <c r="K33" s="64">
        <f>$C33*('Last Year Actual'!J33/'Last Year Actual'!$O33)</f>
        <v>0</v>
      </c>
      <c r="L33" s="64">
        <f>$C33*('Last Year Actual'!K33/'Last Year Actual'!$O33)</f>
        <v>64999.00001538438</v>
      </c>
      <c r="M33" s="64">
        <f>$C33*('Last Year Actual'!L33/'Last Year Actual'!$O33)</f>
        <v>0</v>
      </c>
      <c r="N33" s="64">
        <f>$C33*('Last Year Actual'!M33/'Last Year Actual'!$O33)</f>
        <v>0</v>
      </c>
      <c r="O33" s="64">
        <f>$C33*('Last Year Actual'!N33/'Last Year Actual'!$O33)</f>
        <v>0</v>
      </c>
      <c r="P33" s="53">
        <f t="shared" si="6"/>
        <v>65000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19.5" customHeight="1">
      <c r="A34" s="41"/>
      <c r="B34" s="30" t="s">
        <v>38</v>
      </c>
      <c r="C34" s="20"/>
      <c r="D34" s="64">
        <f>$C34*('Last Year Actual'!C34/'Last Year Actual'!$O34)</f>
        <v>0</v>
      </c>
      <c r="E34" s="64">
        <f>$C34*('Last Year Actual'!D34/'Last Year Actual'!$O34)</f>
        <v>0</v>
      </c>
      <c r="F34" s="64">
        <f>$C34*('Last Year Actual'!E34/'Last Year Actual'!$O34)</f>
        <v>0</v>
      </c>
      <c r="G34" s="64">
        <f>$C34*('Last Year Actual'!F34/'Last Year Actual'!$O34)</f>
        <v>0</v>
      </c>
      <c r="H34" s="64">
        <f>$C34*('Last Year Actual'!G34/'Last Year Actual'!$O34)</f>
        <v>0</v>
      </c>
      <c r="I34" s="64">
        <f>$C34*('Last Year Actual'!H34/'Last Year Actual'!$O34)</f>
        <v>0</v>
      </c>
      <c r="J34" s="64">
        <f>$C34*('Last Year Actual'!I34/'Last Year Actual'!$O34)</f>
        <v>0</v>
      </c>
      <c r="K34" s="64">
        <f>$C34*('Last Year Actual'!J34/'Last Year Actual'!$O34)</f>
        <v>0</v>
      </c>
      <c r="L34" s="64">
        <f>$C34*('Last Year Actual'!K34/'Last Year Actual'!$O34)</f>
        <v>0</v>
      </c>
      <c r="M34" s="64">
        <f>$C34*('Last Year Actual'!L34/'Last Year Actual'!$O34)</f>
        <v>0</v>
      </c>
      <c r="N34" s="64">
        <f>$C34*('Last Year Actual'!M34/'Last Year Actual'!$O34)</f>
        <v>0</v>
      </c>
      <c r="O34" s="64">
        <f>$C34*('Last Year Actual'!N34/'Last Year Actual'!$O34)</f>
        <v>0</v>
      </c>
      <c r="P34" s="53">
        <f t="shared" si="6"/>
        <v>0</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9.5" customHeight="1">
      <c r="A35" s="41"/>
      <c r="B35" s="27" t="s">
        <v>33</v>
      </c>
      <c r="C35" s="20">
        <v>70000</v>
      </c>
      <c r="D35" s="64">
        <f>$C35*('Last Year Actual'!C35/'Last Year Actual'!$O35)</f>
        <v>0.979007286611376</v>
      </c>
      <c r="E35" s="64">
        <f>$C35*('Last Year Actual'!D35/'Last Year Actual'!$O35)</f>
        <v>6363.5473629739445</v>
      </c>
      <c r="F35" s="64">
        <f>$C35*('Last Year Actual'!E35/'Last Year Actual'!$O35)</f>
        <v>6363.5473629739445</v>
      </c>
      <c r="G35" s="64">
        <f>$C35*('Last Year Actual'!F35/'Last Year Actual'!$O35)</f>
        <v>6363.5473629739445</v>
      </c>
      <c r="H35" s="64">
        <f>$C35*('Last Year Actual'!G35/'Last Year Actual'!$O35)</f>
        <v>6363.5473629739445</v>
      </c>
      <c r="I35" s="64">
        <f>$C35*('Last Year Actual'!H35/'Last Year Actual'!$O35)</f>
        <v>6363.5473629739445</v>
      </c>
      <c r="J35" s="64">
        <f>$C35*('Last Year Actual'!I35/'Last Year Actual'!$O35)</f>
        <v>6363.5473629739445</v>
      </c>
      <c r="K35" s="64">
        <f>$C35*('Last Year Actual'!J35/'Last Year Actual'!$O35)</f>
        <v>6363.5473629739445</v>
      </c>
      <c r="L35" s="64">
        <f>$C35*('Last Year Actual'!K35/'Last Year Actual'!$O35)</f>
        <v>6363.5473629739445</v>
      </c>
      <c r="M35" s="64">
        <f>$C35*('Last Year Actual'!L35/'Last Year Actual'!$O35)</f>
        <v>6363.5473629739445</v>
      </c>
      <c r="N35" s="64">
        <f>$C35*('Last Year Actual'!M35/'Last Year Actual'!$O35)</f>
        <v>6363.5473629739445</v>
      </c>
      <c r="O35" s="64">
        <f>$C35*('Last Year Actual'!N35/'Last Year Actual'!$O35)</f>
        <v>6363.5473629739445</v>
      </c>
      <c r="P35" s="53">
        <f t="shared" si="6"/>
        <v>69999.99999999999</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9.5" customHeight="1">
      <c r="A36" s="41"/>
      <c r="B36" s="27" t="s">
        <v>34</v>
      </c>
      <c r="C36" s="20"/>
      <c r="D36" s="64">
        <f>$C36*('Last Year Actual'!C36/'Last Year Actual'!$O36)</f>
        <v>0</v>
      </c>
      <c r="E36" s="64">
        <f>$C36*('Last Year Actual'!D36/'Last Year Actual'!$O36)</f>
        <v>0</v>
      </c>
      <c r="F36" s="64">
        <f>$C36*('Last Year Actual'!E36/'Last Year Actual'!$O36)</f>
        <v>0</v>
      </c>
      <c r="G36" s="64">
        <f>$C36*('Last Year Actual'!F36/'Last Year Actual'!$O36)</f>
        <v>0</v>
      </c>
      <c r="H36" s="64">
        <f>$C36*('Last Year Actual'!G36/'Last Year Actual'!$O36)</f>
        <v>0</v>
      </c>
      <c r="I36" s="64">
        <f>$C36*('Last Year Actual'!H36/'Last Year Actual'!$O36)</f>
        <v>0</v>
      </c>
      <c r="J36" s="64">
        <f>$C36*('Last Year Actual'!I36/'Last Year Actual'!$O36)</f>
        <v>0</v>
      </c>
      <c r="K36" s="64">
        <f>$C36*('Last Year Actual'!J36/'Last Year Actual'!$O36)</f>
        <v>0</v>
      </c>
      <c r="L36" s="64">
        <f>$C36*('Last Year Actual'!K36/'Last Year Actual'!$O36)</f>
        <v>0</v>
      </c>
      <c r="M36" s="64">
        <f>$C36*('Last Year Actual'!L36/'Last Year Actual'!$O36)</f>
        <v>0</v>
      </c>
      <c r="N36" s="64">
        <f>$C36*('Last Year Actual'!M36/'Last Year Actual'!$O36)</f>
        <v>0</v>
      </c>
      <c r="O36" s="64">
        <f>$C36*('Last Year Actual'!N36/'Last Year Actual'!$O36)</f>
        <v>0</v>
      </c>
      <c r="P36" s="53">
        <f t="shared" si="6"/>
        <v>0</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26.25" customHeight="1">
      <c r="A37" s="41"/>
      <c r="B37" s="62" t="s">
        <v>39</v>
      </c>
      <c r="C37" s="20"/>
      <c r="D37" s="64">
        <f>$C37*('Last Year Actual'!C37/'Last Year Actual'!$O37)</f>
        <v>0</v>
      </c>
      <c r="E37" s="64">
        <f>$C37*('Last Year Actual'!D37/'Last Year Actual'!$O37)</f>
        <v>0</v>
      </c>
      <c r="F37" s="64">
        <f>$C37*('Last Year Actual'!E37/'Last Year Actual'!$O37)</f>
        <v>0</v>
      </c>
      <c r="G37" s="64">
        <f>$C37*('Last Year Actual'!F37/'Last Year Actual'!$O37)</f>
        <v>0</v>
      </c>
      <c r="H37" s="64">
        <f>$C37*('Last Year Actual'!G37/'Last Year Actual'!$O37)</f>
        <v>0</v>
      </c>
      <c r="I37" s="64">
        <f>$C37*('Last Year Actual'!H37/'Last Year Actual'!$O37)</f>
        <v>0</v>
      </c>
      <c r="J37" s="64">
        <f>$C37*('Last Year Actual'!I37/'Last Year Actual'!$O37)</f>
        <v>0</v>
      </c>
      <c r="K37" s="64">
        <f>$C37*('Last Year Actual'!J37/'Last Year Actual'!$O37)</f>
        <v>0</v>
      </c>
      <c r="L37" s="64">
        <f>$C37*('Last Year Actual'!K37/'Last Year Actual'!$O37)</f>
        <v>0</v>
      </c>
      <c r="M37" s="64">
        <f>$C37*('Last Year Actual'!L37/'Last Year Actual'!$O37)</f>
        <v>0</v>
      </c>
      <c r="N37" s="64">
        <f>$C37*('Last Year Actual'!M37/'Last Year Actual'!$O37)</f>
        <v>0</v>
      </c>
      <c r="O37" s="64">
        <f>$C37*('Last Year Actual'!N37/'Last Year Actual'!$O37)</f>
        <v>0</v>
      </c>
      <c r="P37" s="53">
        <f t="shared" si="6"/>
        <v>0</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9.5" customHeight="1" thickBot="1">
      <c r="A38" s="54"/>
      <c r="B38" s="63" t="s">
        <v>35</v>
      </c>
      <c r="C38" s="20"/>
      <c r="D38" s="64">
        <f>$C38*('Last Year Actual'!C38/'Last Year Actual'!$O38)</f>
        <v>0</v>
      </c>
      <c r="E38" s="64">
        <f>$C38*('Last Year Actual'!D38/'Last Year Actual'!$O38)</f>
        <v>0</v>
      </c>
      <c r="F38" s="64">
        <f>$C38*('Last Year Actual'!E38/'Last Year Actual'!$O38)</f>
        <v>0</v>
      </c>
      <c r="G38" s="64">
        <f>$C38*('Last Year Actual'!F38/'Last Year Actual'!$O38)</f>
        <v>0</v>
      </c>
      <c r="H38" s="64">
        <f>$C38*('Last Year Actual'!G38/'Last Year Actual'!$O38)</f>
        <v>0</v>
      </c>
      <c r="I38" s="64">
        <f>$C38*('Last Year Actual'!H38/'Last Year Actual'!$O38)</f>
        <v>0</v>
      </c>
      <c r="J38" s="64">
        <f>$C38*('Last Year Actual'!I38/'Last Year Actual'!$O38)</f>
        <v>0</v>
      </c>
      <c r="K38" s="64">
        <f>$C38*('Last Year Actual'!J38/'Last Year Actual'!$O38)</f>
        <v>0</v>
      </c>
      <c r="L38" s="64">
        <f>$C38*('Last Year Actual'!K38/'Last Year Actual'!$O38)</f>
        <v>0</v>
      </c>
      <c r="M38" s="64">
        <f>$C38*('Last Year Actual'!L38/'Last Year Actual'!$O38)</f>
        <v>0</v>
      </c>
      <c r="N38" s="64">
        <f>$C38*('Last Year Actual'!M38/'Last Year Actual'!$O38)</f>
        <v>0</v>
      </c>
      <c r="O38" s="64">
        <f>$C38*('Last Year Actual'!N38/'Last Year Actual'!$O38)</f>
        <v>0</v>
      </c>
      <c r="P38" s="53">
        <f t="shared" si="6"/>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ht="10.5" customHeight="1" thickBot="1"/>
    <row r="40" spans="1:16" ht="24" customHeight="1" thickBot="1">
      <c r="A40" s="60"/>
      <c r="B40" s="57" t="s">
        <v>46</v>
      </c>
      <c r="C40" s="58">
        <f aca="true" t="shared" si="7" ref="C40:P40">C6-C26</f>
        <v>-138502.04000000004</v>
      </c>
      <c r="D40" s="58">
        <f t="shared" si="7"/>
        <v>300496.2233366981</v>
      </c>
      <c r="E40" s="58">
        <f t="shared" si="7"/>
        <v>78424.36629036986</v>
      </c>
      <c r="F40" s="58">
        <f t="shared" si="7"/>
        <v>-4908.9855612392275</v>
      </c>
      <c r="G40" s="58">
        <f t="shared" si="7"/>
        <v>-129908.73556173922</v>
      </c>
      <c r="H40" s="58">
        <f t="shared" si="7"/>
        <v>78424.36629036986</v>
      </c>
      <c r="I40" s="58">
        <f t="shared" si="7"/>
        <v>-74910.93547374273</v>
      </c>
      <c r="J40" s="58">
        <f t="shared" si="7"/>
        <v>-129908.73556173922</v>
      </c>
      <c r="K40" s="58">
        <f t="shared" si="7"/>
        <v>36757.745919948036</v>
      </c>
      <c r="L40" s="58">
        <f t="shared" si="7"/>
        <v>-128241.36520543635</v>
      </c>
      <c r="M40" s="58">
        <f t="shared" si="7"/>
        <v>-71574.99483169787</v>
      </c>
      <c r="N40" s="58">
        <f t="shared" si="7"/>
        <v>36757.745919948036</v>
      </c>
      <c r="O40" s="58">
        <f t="shared" si="7"/>
        <v>-129908.73556173922</v>
      </c>
      <c r="P40" s="59">
        <f t="shared" si="7"/>
        <v>-138502.04000000004</v>
      </c>
    </row>
    <row r="41" ht="12.75" customHeight="1">
      <c r="B41" s="14" t="s">
        <v>42</v>
      </c>
    </row>
    <row r="43" ht="18" customHeight="1">
      <c r="B43" s="45" t="s">
        <v>48</v>
      </c>
    </row>
  </sheetData>
  <sheetProtection/>
  <mergeCells count="1">
    <mergeCell ref="A2:O2"/>
  </mergeCells>
  <printOptions/>
  <pageMargins left="0.5" right="0.5" top="0.5" bottom="0.75" header="0.25" footer="0.25"/>
  <pageSetup fitToHeight="1" fitToWidth="1" horizontalDpi="600" verticalDpi="600" orientation="landscape" scale="10" r:id="rId2"/>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47"/>
  <sheetViews>
    <sheetView zoomScalePageLayoutView="0" workbookViewId="0" topLeftCell="D24">
      <selection activeCell="H9" sqref="H9"/>
    </sheetView>
  </sheetViews>
  <sheetFormatPr defaultColWidth="16.421875" defaultRowHeight="12.75" customHeight="1"/>
  <cols>
    <col min="1" max="1" width="1.7109375" style="6" customWidth="1"/>
    <col min="2" max="2" width="31.7109375" style="6" customWidth="1"/>
    <col min="3" max="3" width="15.7109375" style="6" customWidth="1"/>
    <col min="4" max="26" width="15.00390625" style="6" customWidth="1"/>
    <col min="27" max="27" width="16.00390625" style="6" customWidth="1"/>
    <col min="28" max="29" width="16.421875" style="21" customWidth="1"/>
    <col min="30" max="16384" width="16.421875" style="9" customWidth="1"/>
  </cols>
  <sheetData>
    <row r="1" spans="2:25" ht="32.25" customHeight="1">
      <c r="B1" s="47" t="s">
        <v>49</v>
      </c>
      <c r="J1" s="46"/>
      <c r="K1" s="46"/>
      <c r="L1" s="46"/>
      <c r="M1" s="46"/>
      <c r="N1" s="46"/>
      <c r="O1" s="46"/>
      <c r="P1" s="46"/>
      <c r="Q1" s="46"/>
      <c r="R1" s="46"/>
      <c r="S1" s="46"/>
      <c r="T1" s="46"/>
      <c r="U1" s="46"/>
      <c r="V1" s="46"/>
      <c r="Y1" s="49" t="s">
        <v>50</v>
      </c>
    </row>
    <row r="2" spans="1:29" s="8" customFormat="1" ht="22.5" customHeight="1">
      <c r="A2" s="124" t="s">
        <v>99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5"/>
      <c r="AB2" s="111"/>
      <c r="AC2" s="111"/>
    </row>
    <row r="3" s="4" customFormat="1" ht="27" customHeight="1">
      <c r="B3" s="25" t="s">
        <v>114</v>
      </c>
    </row>
    <row r="4" spans="2:4" s="4" customFormat="1" ht="27" customHeight="1">
      <c r="B4" s="109" t="s">
        <v>103</v>
      </c>
      <c r="C4" s="107">
        <v>1</v>
      </c>
      <c r="D4" s="108" t="s">
        <v>104</v>
      </c>
    </row>
    <row r="5" spans="1:28" s="4" customFormat="1" ht="16.5" customHeight="1">
      <c r="A5" s="22"/>
      <c r="C5" s="65" t="s">
        <v>55</v>
      </c>
      <c r="D5" s="65" t="s">
        <v>82</v>
      </c>
      <c r="E5" s="65" t="s">
        <v>83</v>
      </c>
      <c r="F5" s="65" t="s">
        <v>86</v>
      </c>
      <c r="G5" s="65" t="s">
        <v>87</v>
      </c>
      <c r="H5" s="65" t="s">
        <v>88</v>
      </c>
      <c r="I5" s="65" t="s">
        <v>89</v>
      </c>
      <c r="J5" s="65" t="s">
        <v>90</v>
      </c>
      <c r="K5" s="65" t="s">
        <v>91</v>
      </c>
      <c r="L5" s="65" t="s">
        <v>92</v>
      </c>
      <c r="M5" s="65" t="s">
        <v>93</v>
      </c>
      <c r="N5" s="65" t="s">
        <v>94</v>
      </c>
      <c r="O5" s="65" t="s">
        <v>95</v>
      </c>
      <c r="P5" s="65" t="s">
        <v>84</v>
      </c>
      <c r="Q5" s="65" t="s">
        <v>85</v>
      </c>
      <c r="R5" s="65" t="s">
        <v>96</v>
      </c>
      <c r="S5" s="65" t="s">
        <v>97</v>
      </c>
      <c r="T5" s="65" t="s">
        <v>98</v>
      </c>
      <c r="U5" s="65" t="s">
        <v>108</v>
      </c>
      <c r="V5" s="65" t="s">
        <v>109</v>
      </c>
      <c r="W5" s="65" t="s">
        <v>110</v>
      </c>
      <c r="X5" s="65" t="s">
        <v>111</v>
      </c>
      <c r="Y5" s="65" t="s">
        <v>112</v>
      </c>
      <c r="Z5" s="65" t="s">
        <v>113</v>
      </c>
      <c r="AA5" s="24" t="s">
        <v>100</v>
      </c>
      <c r="AB5" s="105" t="s">
        <v>101</v>
      </c>
    </row>
    <row r="6" spans="1:29" ht="5.25" customHeight="1" thickBot="1">
      <c r="A6" s="10"/>
      <c r="B6" s="9"/>
      <c r="C6" s="1"/>
      <c r="D6" s="1"/>
      <c r="E6" s="1"/>
      <c r="F6" s="1"/>
      <c r="G6" s="1"/>
      <c r="H6" s="1"/>
      <c r="I6" s="1"/>
      <c r="J6" s="1"/>
      <c r="K6" s="1"/>
      <c r="L6" s="1"/>
      <c r="M6" s="1"/>
      <c r="N6" s="1"/>
      <c r="O6" s="1"/>
      <c r="P6" s="1"/>
      <c r="Q6" s="1"/>
      <c r="R6" s="1"/>
      <c r="S6" s="1"/>
      <c r="T6" s="1"/>
      <c r="U6" s="1"/>
      <c r="V6" s="1"/>
      <c r="W6" s="1"/>
      <c r="X6" s="1"/>
      <c r="Y6" s="1"/>
      <c r="Z6" s="1"/>
      <c r="AA6" s="1"/>
      <c r="AB6" s="4"/>
      <c r="AC6" s="4"/>
    </row>
    <row r="7" spans="1:29" ht="19.5" customHeight="1">
      <c r="A7" s="15" t="s">
        <v>13</v>
      </c>
      <c r="B7" s="16"/>
      <c r="C7" s="32">
        <f aca="true" t="shared" si="0" ref="C7:J7">C8+C18</f>
        <v>52775</v>
      </c>
      <c r="D7" s="32">
        <f t="shared" si="0"/>
        <v>6075</v>
      </c>
      <c r="E7" s="32">
        <f t="shared" si="0"/>
        <v>1125</v>
      </c>
      <c r="F7" s="32">
        <f t="shared" si="0"/>
        <v>5525</v>
      </c>
      <c r="G7" s="32">
        <f t="shared" si="0"/>
        <v>95525</v>
      </c>
      <c r="H7" s="32">
        <f t="shared" si="0"/>
        <v>55525</v>
      </c>
      <c r="I7" s="32">
        <f t="shared" si="0"/>
        <v>27275</v>
      </c>
      <c r="J7" s="32">
        <f t="shared" si="0"/>
        <v>57275</v>
      </c>
      <c r="K7" s="32">
        <f aca="true" t="shared" si="1" ref="K7:V7">K8+K18</f>
        <v>42775</v>
      </c>
      <c r="L7" s="32">
        <f t="shared" si="1"/>
        <v>43275</v>
      </c>
      <c r="M7" s="32">
        <f t="shared" si="1"/>
        <v>58275</v>
      </c>
      <c r="N7" s="32">
        <f t="shared" si="1"/>
        <v>44275</v>
      </c>
      <c r="O7" s="32">
        <f t="shared" si="1"/>
        <v>44275</v>
      </c>
      <c r="P7" s="32">
        <f t="shared" si="1"/>
        <v>44275</v>
      </c>
      <c r="Q7" s="32">
        <f t="shared" si="1"/>
        <v>44275</v>
      </c>
      <c r="R7" s="32">
        <f t="shared" si="1"/>
        <v>44275</v>
      </c>
      <c r="S7" s="32">
        <f t="shared" si="1"/>
        <v>50525</v>
      </c>
      <c r="T7" s="32">
        <f t="shared" si="1"/>
        <v>50525</v>
      </c>
      <c r="U7" s="32">
        <f t="shared" si="1"/>
        <v>59275</v>
      </c>
      <c r="V7" s="32">
        <f t="shared" si="1"/>
        <v>44275</v>
      </c>
      <c r="W7" s="32">
        <f>W8+W18</f>
        <v>44275</v>
      </c>
      <c r="X7" s="32">
        <f>X8+X18</f>
        <v>40275</v>
      </c>
      <c r="Y7" s="32">
        <f>Y8+Y18</f>
        <v>55275</v>
      </c>
      <c r="Z7" s="32">
        <f>Z8+Z18</f>
        <v>44275</v>
      </c>
      <c r="AA7" s="34">
        <f>AA8+AA18</f>
        <v>1055500</v>
      </c>
      <c r="AB7" s="4"/>
      <c r="AC7" s="4"/>
    </row>
    <row r="8" spans="1:27" s="4" customFormat="1" ht="19.5" customHeight="1">
      <c r="A8" s="40"/>
      <c r="B8" s="26" t="s">
        <v>14</v>
      </c>
      <c r="C8" s="7">
        <f aca="true" t="shared" si="2" ref="C8:J8">SUM(C9:C16)</f>
        <v>50250</v>
      </c>
      <c r="D8" s="7">
        <f t="shared" si="2"/>
        <v>5550</v>
      </c>
      <c r="E8" s="7">
        <f t="shared" si="2"/>
        <v>600</v>
      </c>
      <c r="F8" s="7">
        <f t="shared" si="2"/>
        <v>5000</v>
      </c>
      <c r="G8" s="7">
        <f t="shared" si="2"/>
        <v>80000</v>
      </c>
      <c r="H8" s="7">
        <f t="shared" si="2"/>
        <v>55000</v>
      </c>
      <c r="I8" s="7">
        <f t="shared" si="2"/>
        <v>25250</v>
      </c>
      <c r="J8" s="7">
        <f t="shared" si="2"/>
        <v>40250</v>
      </c>
      <c r="K8" s="7">
        <f aca="true" t="shared" si="3" ref="K8:V8">SUM(K9:K16)</f>
        <v>40250</v>
      </c>
      <c r="L8" s="7">
        <f t="shared" si="3"/>
        <v>40250</v>
      </c>
      <c r="M8" s="7">
        <f t="shared" si="3"/>
        <v>40250</v>
      </c>
      <c r="N8" s="7">
        <f t="shared" si="3"/>
        <v>40250</v>
      </c>
      <c r="O8" s="7">
        <f t="shared" si="3"/>
        <v>40250</v>
      </c>
      <c r="P8" s="7">
        <f t="shared" si="3"/>
        <v>40250</v>
      </c>
      <c r="Q8" s="7">
        <f t="shared" si="3"/>
        <v>40250</v>
      </c>
      <c r="R8" s="7">
        <f t="shared" si="3"/>
        <v>40250</v>
      </c>
      <c r="S8" s="7">
        <f t="shared" si="3"/>
        <v>46500</v>
      </c>
      <c r="T8" s="7">
        <f t="shared" si="3"/>
        <v>46500</v>
      </c>
      <c r="U8" s="7">
        <f t="shared" si="3"/>
        <v>40250</v>
      </c>
      <c r="V8" s="7">
        <f t="shared" si="3"/>
        <v>40250</v>
      </c>
      <c r="W8" s="7">
        <f>SUM(W9:W16)</f>
        <v>40250</v>
      </c>
      <c r="X8" s="7">
        <f>SUM(X9:X16)</f>
        <v>40250</v>
      </c>
      <c r="Y8" s="7">
        <f>SUM(Y9:Y16)</f>
        <v>40250</v>
      </c>
      <c r="Z8" s="7">
        <f>SUM(Z9:Z16)</f>
        <v>40250</v>
      </c>
      <c r="AA8" s="35">
        <f>SUM(AA9:AA16)</f>
        <v>918400</v>
      </c>
    </row>
    <row r="9" spans="1:29" ht="19.5" customHeight="1">
      <c r="A9" s="41"/>
      <c r="B9" s="27" t="s">
        <v>15</v>
      </c>
      <c r="C9" s="67">
        <v>25000</v>
      </c>
      <c r="D9" s="67"/>
      <c r="E9" s="67"/>
      <c r="F9" s="67"/>
      <c r="G9" s="67">
        <v>75000</v>
      </c>
      <c r="H9" s="67"/>
      <c r="I9" s="67"/>
      <c r="J9" s="67"/>
      <c r="K9" s="67"/>
      <c r="L9" s="67"/>
      <c r="M9" s="67"/>
      <c r="N9" s="67"/>
      <c r="O9" s="67"/>
      <c r="P9" s="67"/>
      <c r="Q9" s="67"/>
      <c r="R9" s="67"/>
      <c r="S9" s="67"/>
      <c r="T9" s="67"/>
      <c r="U9" s="67"/>
      <c r="V9" s="67"/>
      <c r="W9" s="67"/>
      <c r="X9" s="67"/>
      <c r="Y9" s="67"/>
      <c r="Z9" s="67"/>
      <c r="AA9" s="36">
        <f aca="true" t="shared" si="4" ref="AA9:AA16">SUM(C9:Z9)</f>
        <v>100000</v>
      </c>
      <c r="AB9" s="4"/>
      <c r="AC9" s="4"/>
    </row>
    <row r="10" spans="1:29" ht="19.5" customHeight="1">
      <c r="A10" s="41"/>
      <c r="B10" s="27" t="s">
        <v>16</v>
      </c>
      <c r="C10" s="67">
        <v>15000</v>
      </c>
      <c r="D10" s="67"/>
      <c r="E10" s="67"/>
      <c r="F10" s="67"/>
      <c r="G10" s="67"/>
      <c r="H10" s="67">
        <v>25000</v>
      </c>
      <c r="I10" s="67">
        <v>25000</v>
      </c>
      <c r="J10" s="67">
        <v>25000</v>
      </c>
      <c r="K10" s="67">
        <v>25000</v>
      </c>
      <c r="L10" s="67">
        <v>25000</v>
      </c>
      <c r="M10" s="67">
        <v>25000</v>
      </c>
      <c r="N10" s="67">
        <v>25000</v>
      </c>
      <c r="O10" s="67">
        <v>25000</v>
      </c>
      <c r="P10" s="67">
        <v>25000</v>
      </c>
      <c r="Q10" s="67">
        <v>25000</v>
      </c>
      <c r="R10" s="67">
        <v>25000</v>
      </c>
      <c r="S10" s="67">
        <v>25000</v>
      </c>
      <c r="T10" s="67">
        <v>25000</v>
      </c>
      <c r="U10" s="67">
        <v>25000</v>
      </c>
      <c r="V10" s="67">
        <v>25000</v>
      </c>
      <c r="W10" s="67">
        <v>25000</v>
      </c>
      <c r="X10" s="67">
        <v>25000</v>
      </c>
      <c r="Y10" s="67">
        <v>25000</v>
      </c>
      <c r="Z10" s="67">
        <v>25000</v>
      </c>
      <c r="AA10" s="36">
        <f t="shared" si="4"/>
        <v>490000</v>
      </c>
      <c r="AB10" s="4"/>
      <c r="AC10" s="4"/>
    </row>
    <row r="11" spans="1:29" ht="19.5" customHeight="1">
      <c r="A11" s="41"/>
      <c r="B11" s="27" t="s">
        <v>17</v>
      </c>
      <c r="C11" s="67">
        <f>SUM('Current Year Budget'!D10:K10)</f>
        <v>0</v>
      </c>
      <c r="D11" s="67"/>
      <c r="E11" s="67"/>
      <c r="F11" s="67">
        <v>5000</v>
      </c>
      <c r="G11" s="67"/>
      <c r="H11" s="67"/>
      <c r="I11" s="67"/>
      <c r="J11" s="67"/>
      <c r="K11" s="67"/>
      <c r="L11" s="67"/>
      <c r="M11" s="67"/>
      <c r="N11" s="67"/>
      <c r="O11" s="67"/>
      <c r="P11" s="67"/>
      <c r="Q11" s="67"/>
      <c r="R11" s="67"/>
      <c r="S11" s="67"/>
      <c r="T11" s="67"/>
      <c r="U11" s="67"/>
      <c r="V11" s="67"/>
      <c r="W11" s="67"/>
      <c r="X11" s="67"/>
      <c r="Y11" s="67"/>
      <c r="Z11" s="67"/>
      <c r="AA11" s="36">
        <f t="shared" si="4"/>
        <v>5000</v>
      </c>
      <c r="AB11" s="4"/>
      <c r="AC11" s="4"/>
    </row>
    <row r="12" spans="1:29" ht="19.5" customHeight="1">
      <c r="A12" s="17"/>
      <c r="B12" s="12" t="s">
        <v>18</v>
      </c>
      <c r="C12" s="67">
        <v>250</v>
      </c>
      <c r="D12" s="67">
        <v>550</v>
      </c>
      <c r="E12" s="67">
        <v>600</v>
      </c>
      <c r="F12" s="67"/>
      <c r="G12" s="67">
        <v>5000</v>
      </c>
      <c r="H12" s="67">
        <v>5000</v>
      </c>
      <c r="I12" s="67">
        <v>250</v>
      </c>
      <c r="J12" s="67">
        <v>250</v>
      </c>
      <c r="K12" s="67">
        <v>250</v>
      </c>
      <c r="L12" s="67">
        <v>250</v>
      </c>
      <c r="M12" s="67">
        <v>250</v>
      </c>
      <c r="N12" s="67">
        <v>250</v>
      </c>
      <c r="O12" s="67">
        <v>250</v>
      </c>
      <c r="P12" s="67">
        <v>250</v>
      </c>
      <c r="Q12" s="67">
        <v>250</v>
      </c>
      <c r="R12" s="67">
        <v>250</v>
      </c>
      <c r="S12" s="67">
        <v>6500</v>
      </c>
      <c r="T12" s="67">
        <v>6500</v>
      </c>
      <c r="U12" s="67">
        <v>250</v>
      </c>
      <c r="V12" s="67">
        <v>250</v>
      </c>
      <c r="W12" s="67">
        <v>250</v>
      </c>
      <c r="X12" s="67">
        <v>250</v>
      </c>
      <c r="Y12" s="67">
        <v>250</v>
      </c>
      <c r="Z12" s="67">
        <v>250</v>
      </c>
      <c r="AA12" s="36">
        <f t="shared" si="4"/>
        <v>28400</v>
      </c>
      <c r="AB12" s="4"/>
      <c r="AC12" s="4"/>
    </row>
    <row r="13" spans="1:29" ht="19.5" customHeight="1">
      <c r="A13" s="42"/>
      <c r="B13" s="28" t="s">
        <v>19</v>
      </c>
      <c r="C13" s="67">
        <f>SUM('Current Year Budget'!D12:K12)</f>
        <v>0</v>
      </c>
      <c r="D13" s="67"/>
      <c r="E13" s="67"/>
      <c r="F13" s="67"/>
      <c r="G13" s="67"/>
      <c r="H13" s="67"/>
      <c r="I13" s="67"/>
      <c r="J13" s="67"/>
      <c r="K13" s="67"/>
      <c r="L13" s="67"/>
      <c r="M13" s="67"/>
      <c r="N13" s="67"/>
      <c r="O13" s="67"/>
      <c r="P13" s="67"/>
      <c r="Q13" s="67"/>
      <c r="R13" s="67"/>
      <c r="S13" s="67"/>
      <c r="T13" s="67"/>
      <c r="U13" s="67"/>
      <c r="V13" s="67"/>
      <c r="W13" s="67"/>
      <c r="X13" s="67"/>
      <c r="Y13" s="67"/>
      <c r="Z13" s="67"/>
      <c r="AA13" s="36">
        <f t="shared" si="4"/>
        <v>0</v>
      </c>
      <c r="AB13" s="4"/>
      <c r="AC13" s="4"/>
    </row>
    <row r="14" spans="1:29" ht="19.5" customHeight="1">
      <c r="A14" s="42"/>
      <c r="B14" s="28" t="s">
        <v>20</v>
      </c>
      <c r="C14" s="67">
        <f>SUM('Current Year Budget'!D13:K13)</f>
        <v>0</v>
      </c>
      <c r="D14" s="67"/>
      <c r="E14" s="67"/>
      <c r="F14" s="67"/>
      <c r="G14" s="67"/>
      <c r="H14" s="67"/>
      <c r="I14" s="67"/>
      <c r="J14" s="67"/>
      <c r="K14" s="67"/>
      <c r="L14" s="67"/>
      <c r="M14" s="67"/>
      <c r="N14" s="67"/>
      <c r="O14" s="67"/>
      <c r="P14" s="67"/>
      <c r="Q14" s="67"/>
      <c r="R14" s="67"/>
      <c r="S14" s="67"/>
      <c r="T14" s="67"/>
      <c r="U14" s="67"/>
      <c r="V14" s="67"/>
      <c r="W14" s="67"/>
      <c r="X14" s="67"/>
      <c r="Y14" s="67"/>
      <c r="Z14" s="67"/>
      <c r="AA14" s="36">
        <f t="shared" si="4"/>
        <v>0</v>
      </c>
      <c r="AB14" s="4"/>
      <c r="AC14" s="4"/>
    </row>
    <row r="15" spans="1:29" ht="19.5" customHeight="1">
      <c r="A15" s="43"/>
      <c r="B15" s="29" t="s">
        <v>21</v>
      </c>
      <c r="C15" s="67">
        <v>10000</v>
      </c>
      <c r="D15" s="67">
        <v>5000</v>
      </c>
      <c r="E15" s="67"/>
      <c r="F15" s="67">
        <v>0</v>
      </c>
      <c r="G15" s="67"/>
      <c r="H15" s="67">
        <v>25000</v>
      </c>
      <c r="I15" s="67"/>
      <c r="J15" s="67"/>
      <c r="K15" s="67"/>
      <c r="L15" s="67"/>
      <c r="M15" s="67"/>
      <c r="N15" s="67"/>
      <c r="O15" s="67"/>
      <c r="P15" s="67"/>
      <c r="Q15" s="67"/>
      <c r="R15" s="67"/>
      <c r="S15" s="67"/>
      <c r="T15" s="67"/>
      <c r="U15" s="67"/>
      <c r="V15" s="67"/>
      <c r="W15" s="67"/>
      <c r="X15" s="67"/>
      <c r="Y15" s="67"/>
      <c r="Z15" s="67"/>
      <c r="AA15" s="36">
        <f t="shared" si="4"/>
        <v>40000</v>
      </c>
      <c r="AB15" s="4"/>
      <c r="AC15" s="4"/>
    </row>
    <row r="16" spans="1:29" ht="19.5" customHeight="1">
      <c r="A16" s="41"/>
      <c r="B16" s="30" t="s">
        <v>45</v>
      </c>
      <c r="C16" s="67">
        <v>0</v>
      </c>
      <c r="D16" s="67"/>
      <c r="E16" s="67"/>
      <c r="F16" s="67"/>
      <c r="G16" s="67"/>
      <c r="H16" s="67"/>
      <c r="I16" s="67"/>
      <c r="J16" s="67">
        <v>15000</v>
      </c>
      <c r="K16" s="67">
        <v>15000</v>
      </c>
      <c r="L16" s="67">
        <v>15000</v>
      </c>
      <c r="M16" s="67">
        <v>15000</v>
      </c>
      <c r="N16" s="67">
        <v>15000</v>
      </c>
      <c r="O16" s="67">
        <v>15000</v>
      </c>
      <c r="P16" s="67">
        <v>15000</v>
      </c>
      <c r="Q16" s="67">
        <v>15000</v>
      </c>
      <c r="R16" s="67">
        <v>15000</v>
      </c>
      <c r="S16" s="67">
        <v>15000</v>
      </c>
      <c r="T16" s="67">
        <v>15000</v>
      </c>
      <c r="U16" s="67">
        <v>15000</v>
      </c>
      <c r="V16" s="67">
        <v>15000</v>
      </c>
      <c r="W16" s="67">
        <v>15000</v>
      </c>
      <c r="X16" s="67">
        <v>15000</v>
      </c>
      <c r="Y16" s="67">
        <v>15000</v>
      </c>
      <c r="Z16" s="67">
        <v>15000</v>
      </c>
      <c r="AA16" s="36">
        <f t="shared" si="4"/>
        <v>255000</v>
      </c>
      <c r="AB16" s="4"/>
      <c r="AC16" s="4"/>
    </row>
    <row r="17" spans="1:29" ht="3.75" customHeight="1">
      <c r="A17" s="17"/>
      <c r="B17" s="13"/>
      <c r="C17" s="3"/>
      <c r="D17" s="3"/>
      <c r="E17" s="3"/>
      <c r="F17" s="3"/>
      <c r="G17" s="3"/>
      <c r="H17" s="3"/>
      <c r="I17" s="3"/>
      <c r="J17" s="3"/>
      <c r="K17" s="3"/>
      <c r="L17" s="3"/>
      <c r="M17" s="3"/>
      <c r="N17" s="3"/>
      <c r="O17" s="3"/>
      <c r="P17" s="3"/>
      <c r="Q17" s="3"/>
      <c r="R17" s="3"/>
      <c r="S17" s="3"/>
      <c r="T17" s="3"/>
      <c r="U17" s="3"/>
      <c r="V17" s="3"/>
      <c r="W17" s="3"/>
      <c r="X17" s="3"/>
      <c r="Y17" s="3"/>
      <c r="Z17" s="3"/>
      <c r="AA17" s="37"/>
      <c r="AB17" s="4"/>
      <c r="AC17" s="4"/>
    </row>
    <row r="18" spans="1:27" s="4" customFormat="1" ht="19.5" customHeight="1">
      <c r="A18" s="31"/>
      <c r="B18" s="11" t="s">
        <v>22</v>
      </c>
      <c r="C18" s="7">
        <f aca="true" t="shared" si="5" ref="C18:J18">SUM(C19:C25)</f>
        <v>2525</v>
      </c>
      <c r="D18" s="7">
        <f t="shared" si="5"/>
        <v>525</v>
      </c>
      <c r="E18" s="7">
        <f t="shared" si="5"/>
        <v>525</v>
      </c>
      <c r="F18" s="7">
        <f t="shared" si="5"/>
        <v>525</v>
      </c>
      <c r="G18" s="7">
        <f t="shared" si="5"/>
        <v>15525</v>
      </c>
      <c r="H18" s="7">
        <f t="shared" si="5"/>
        <v>525</v>
      </c>
      <c r="I18" s="7">
        <f t="shared" si="5"/>
        <v>2025</v>
      </c>
      <c r="J18" s="7">
        <f t="shared" si="5"/>
        <v>17025</v>
      </c>
      <c r="K18" s="7">
        <f aca="true" t="shared" si="6" ref="K18:V18">SUM(K19:K25)</f>
        <v>2525</v>
      </c>
      <c r="L18" s="7">
        <f t="shared" si="6"/>
        <v>3025</v>
      </c>
      <c r="M18" s="7">
        <f t="shared" si="6"/>
        <v>18025</v>
      </c>
      <c r="N18" s="7">
        <f t="shared" si="6"/>
        <v>4025</v>
      </c>
      <c r="O18" s="7">
        <f t="shared" si="6"/>
        <v>4025</v>
      </c>
      <c r="P18" s="7">
        <f t="shared" si="6"/>
        <v>4025</v>
      </c>
      <c r="Q18" s="7">
        <f t="shared" si="6"/>
        <v>4025</v>
      </c>
      <c r="R18" s="7">
        <f t="shared" si="6"/>
        <v>4025</v>
      </c>
      <c r="S18" s="7">
        <f t="shared" si="6"/>
        <v>4025</v>
      </c>
      <c r="T18" s="7">
        <f t="shared" si="6"/>
        <v>4025</v>
      </c>
      <c r="U18" s="7">
        <f t="shared" si="6"/>
        <v>19025</v>
      </c>
      <c r="V18" s="7">
        <f t="shared" si="6"/>
        <v>4025</v>
      </c>
      <c r="W18" s="7">
        <f>SUM(W19:W25)</f>
        <v>4025</v>
      </c>
      <c r="X18" s="7">
        <f>SUM(X19:X25)</f>
        <v>25</v>
      </c>
      <c r="Y18" s="7">
        <f>SUM(Y19:Y25)</f>
        <v>15025</v>
      </c>
      <c r="Z18" s="7">
        <f>SUM(Z19:Z25)</f>
        <v>4025</v>
      </c>
      <c r="AA18" s="35">
        <f>SUM(AA19:AA25)</f>
        <v>137100</v>
      </c>
    </row>
    <row r="19" spans="1:29" ht="19.5" customHeight="1">
      <c r="A19" s="41"/>
      <c r="B19" s="27" t="s">
        <v>23</v>
      </c>
      <c r="C19" s="67">
        <f>SUM('Current Year Budget'!D18:K18)</f>
        <v>0</v>
      </c>
      <c r="D19" s="67"/>
      <c r="E19" s="67"/>
      <c r="F19" s="67"/>
      <c r="G19" s="67"/>
      <c r="H19" s="67"/>
      <c r="I19" s="67"/>
      <c r="J19" s="67"/>
      <c r="K19" s="67"/>
      <c r="L19" s="67"/>
      <c r="M19" s="67"/>
      <c r="N19" s="67"/>
      <c r="O19" s="67"/>
      <c r="P19" s="67"/>
      <c r="Q19" s="67"/>
      <c r="R19" s="67"/>
      <c r="S19" s="67"/>
      <c r="T19" s="67"/>
      <c r="U19" s="67"/>
      <c r="V19" s="67"/>
      <c r="W19" s="67"/>
      <c r="X19" s="67"/>
      <c r="Y19" s="67"/>
      <c r="Z19" s="67"/>
      <c r="AA19" s="36">
        <f aca="true" t="shared" si="7" ref="AA19:AA25">SUM(C19:Z19)</f>
        <v>0</v>
      </c>
      <c r="AB19" s="4"/>
      <c r="AC19" s="4"/>
    </row>
    <row r="20" spans="1:29" ht="19.5" customHeight="1">
      <c r="A20" s="17"/>
      <c r="B20" s="12" t="s">
        <v>24</v>
      </c>
      <c r="C20" s="67">
        <f>SUM('Current Year Budget'!D19:K19)</f>
        <v>0</v>
      </c>
      <c r="D20" s="67"/>
      <c r="E20" s="67"/>
      <c r="F20" s="67"/>
      <c r="G20" s="67">
        <v>15000</v>
      </c>
      <c r="H20" s="67"/>
      <c r="I20" s="67"/>
      <c r="J20" s="67">
        <v>15000</v>
      </c>
      <c r="K20" s="67"/>
      <c r="L20" s="67"/>
      <c r="M20" s="67">
        <v>15000</v>
      </c>
      <c r="N20" s="67"/>
      <c r="O20" s="67"/>
      <c r="P20" s="67"/>
      <c r="Q20" s="67"/>
      <c r="R20" s="67"/>
      <c r="S20" s="67"/>
      <c r="T20" s="67"/>
      <c r="U20" s="67">
        <v>15000</v>
      </c>
      <c r="V20" s="67"/>
      <c r="W20" s="67"/>
      <c r="X20" s="67"/>
      <c r="Y20" s="67">
        <v>15000</v>
      </c>
      <c r="Z20" s="67"/>
      <c r="AA20" s="36">
        <f t="shared" si="7"/>
        <v>75000</v>
      </c>
      <c r="AB20" s="4"/>
      <c r="AC20" s="4"/>
    </row>
    <row r="21" spans="1:29" ht="19.5" customHeight="1">
      <c r="A21" s="41"/>
      <c r="B21" s="27" t="s">
        <v>25</v>
      </c>
      <c r="C21" s="67">
        <f>SUM('Current Year Budget'!D20:K20)</f>
        <v>0</v>
      </c>
      <c r="D21" s="67"/>
      <c r="E21" s="67"/>
      <c r="F21" s="67"/>
      <c r="G21" s="67"/>
      <c r="H21" s="67"/>
      <c r="I21" s="67"/>
      <c r="J21" s="67"/>
      <c r="K21" s="67"/>
      <c r="L21" s="67"/>
      <c r="M21" s="67"/>
      <c r="N21" s="67"/>
      <c r="O21" s="67"/>
      <c r="P21" s="67"/>
      <c r="Q21" s="67"/>
      <c r="R21" s="67"/>
      <c r="S21" s="67"/>
      <c r="T21" s="67"/>
      <c r="U21" s="67"/>
      <c r="V21" s="67"/>
      <c r="W21" s="67"/>
      <c r="X21" s="67"/>
      <c r="Y21" s="67"/>
      <c r="Z21" s="67"/>
      <c r="AA21" s="36">
        <f t="shared" si="7"/>
        <v>0</v>
      </c>
      <c r="AB21" s="4"/>
      <c r="AC21" s="4"/>
    </row>
    <row r="22" spans="1:29" ht="19.5" customHeight="1">
      <c r="A22" s="17"/>
      <c r="B22" s="13" t="s">
        <v>43</v>
      </c>
      <c r="C22" s="67">
        <v>2500</v>
      </c>
      <c r="D22" s="67">
        <v>500</v>
      </c>
      <c r="E22" s="67">
        <v>500</v>
      </c>
      <c r="F22" s="67">
        <v>500</v>
      </c>
      <c r="G22" s="67">
        <v>500</v>
      </c>
      <c r="H22" s="67">
        <v>500</v>
      </c>
      <c r="I22" s="67">
        <v>500</v>
      </c>
      <c r="J22" s="67">
        <v>500</v>
      </c>
      <c r="K22" s="67">
        <v>500</v>
      </c>
      <c r="L22" s="67">
        <v>500</v>
      </c>
      <c r="M22" s="67">
        <v>500</v>
      </c>
      <c r="N22" s="67">
        <v>500</v>
      </c>
      <c r="O22" s="67">
        <v>500</v>
      </c>
      <c r="P22" s="67">
        <v>500</v>
      </c>
      <c r="Q22" s="67">
        <v>500</v>
      </c>
      <c r="R22" s="67">
        <v>500</v>
      </c>
      <c r="S22" s="67">
        <v>500</v>
      </c>
      <c r="T22" s="67">
        <v>500</v>
      </c>
      <c r="U22" s="67">
        <v>500</v>
      </c>
      <c r="V22" s="67">
        <v>500</v>
      </c>
      <c r="W22" s="67">
        <v>500</v>
      </c>
      <c r="X22" s="67"/>
      <c r="Y22" s="67"/>
      <c r="Z22" s="67">
        <v>500</v>
      </c>
      <c r="AA22" s="36">
        <f t="shared" si="7"/>
        <v>13000</v>
      </c>
      <c r="AB22" s="4"/>
      <c r="AC22" s="4"/>
    </row>
    <row r="23" spans="1:29" ht="19.5" customHeight="1">
      <c r="A23" s="41"/>
      <c r="B23" s="30" t="s">
        <v>44</v>
      </c>
      <c r="C23" s="67"/>
      <c r="D23" s="67"/>
      <c r="E23" s="67"/>
      <c r="F23" s="67"/>
      <c r="G23" s="67"/>
      <c r="H23" s="67"/>
      <c r="I23" s="67">
        <v>1500</v>
      </c>
      <c r="J23" s="67">
        <v>1500</v>
      </c>
      <c r="K23" s="67">
        <v>2000</v>
      </c>
      <c r="L23" s="67">
        <v>2500</v>
      </c>
      <c r="M23" s="67">
        <v>2500</v>
      </c>
      <c r="N23" s="67">
        <v>3500</v>
      </c>
      <c r="O23" s="67">
        <v>3500</v>
      </c>
      <c r="P23" s="67">
        <v>3500</v>
      </c>
      <c r="Q23" s="67">
        <v>3500</v>
      </c>
      <c r="R23" s="67">
        <v>3500</v>
      </c>
      <c r="S23" s="67">
        <v>3500</v>
      </c>
      <c r="T23" s="67">
        <v>3500</v>
      </c>
      <c r="U23" s="67">
        <v>3500</v>
      </c>
      <c r="V23" s="67">
        <v>3500</v>
      </c>
      <c r="W23" s="67">
        <v>3500</v>
      </c>
      <c r="X23" s="67"/>
      <c r="Y23" s="67"/>
      <c r="Z23" s="67">
        <v>3500</v>
      </c>
      <c r="AA23" s="36">
        <f t="shared" si="7"/>
        <v>48500</v>
      </c>
      <c r="AB23" s="4"/>
      <c r="AC23" s="4"/>
    </row>
    <row r="24" spans="1:29" ht="19.5" customHeight="1">
      <c r="A24" s="41"/>
      <c r="B24" s="27" t="s">
        <v>26</v>
      </c>
      <c r="C24" s="67">
        <v>25</v>
      </c>
      <c r="D24" s="67">
        <v>25</v>
      </c>
      <c r="E24" s="67">
        <v>25</v>
      </c>
      <c r="F24" s="67">
        <v>25</v>
      </c>
      <c r="G24" s="67">
        <v>25</v>
      </c>
      <c r="H24" s="67">
        <v>25</v>
      </c>
      <c r="I24" s="67">
        <v>25</v>
      </c>
      <c r="J24" s="67">
        <v>25</v>
      </c>
      <c r="K24" s="67">
        <v>25</v>
      </c>
      <c r="L24" s="67">
        <v>25</v>
      </c>
      <c r="M24" s="67">
        <v>25</v>
      </c>
      <c r="N24" s="67">
        <v>25</v>
      </c>
      <c r="O24" s="67">
        <v>25</v>
      </c>
      <c r="P24" s="67">
        <v>25</v>
      </c>
      <c r="Q24" s="67">
        <v>25</v>
      </c>
      <c r="R24" s="67">
        <v>25</v>
      </c>
      <c r="S24" s="67">
        <v>25</v>
      </c>
      <c r="T24" s="67">
        <v>25</v>
      </c>
      <c r="U24" s="67">
        <v>25</v>
      </c>
      <c r="V24" s="67">
        <v>25</v>
      </c>
      <c r="W24" s="67">
        <v>25</v>
      </c>
      <c r="X24" s="67">
        <v>25</v>
      </c>
      <c r="Y24" s="67">
        <v>25</v>
      </c>
      <c r="Z24" s="67">
        <v>25</v>
      </c>
      <c r="AA24" s="36">
        <f t="shared" si="7"/>
        <v>600</v>
      </c>
      <c r="AB24" s="4"/>
      <c r="AC24" s="4"/>
    </row>
    <row r="25" spans="1:29" ht="19.5" customHeight="1" thickBot="1">
      <c r="A25" s="18"/>
      <c r="B25" s="19" t="s">
        <v>27</v>
      </c>
      <c r="C25" s="67">
        <f>SUM('Current Year Budget'!D24:K24)</f>
        <v>0</v>
      </c>
      <c r="D25" s="67"/>
      <c r="E25" s="67"/>
      <c r="F25" s="67"/>
      <c r="G25" s="67"/>
      <c r="H25" s="67"/>
      <c r="I25" s="67"/>
      <c r="J25" s="67"/>
      <c r="K25" s="67"/>
      <c r="L25" s="67"/>
      <c r="M25" s="67"/>
      <c r="N25" s="67"/>
      <c r="O25" s="67"/>
      <c r="P25" s="67"/>
      <c r="Q25" s="67"/>
      <c r="R25" s="67"/>
      <c r="S25" s="67"/>
      <c r="T25" s="67"/>
      <c r="U25" s="67"/>
      <c r="V25" s="67"/>
      <c r="W25" s="67"/>
      <c r="X25" s="67"/>
      <c r="Y25" s="67"/>
      <c r="Z25" s="67"/>
      <c r="AA25" s="39">
        <f t="shared" si="7"/>
        <v>0</v>
      </c>
      <c r="AB25" s="4"/>
      <c r="AC25" s="4"/>
    </row>
    <row r="26" spans="1:29" ht="11.25" customHeight="1" thickBot="1">
      <c r="A26" s="1"/>
      <c r="B26" s="2"/>
      <c r="C26" s="1"/>
      <c r="D26" s="1"/>
      <c r="E26" s="1"/>
      <c r="F26" s="1"/>
      <c r="G26" s="1"/>
      <c r="H26" s="1"/>
      <c r="I26" s="1"/>
      <c r="J26" s="1"/>
      <c r="K26" s="1"/>
      <c r="L26" s="1"/>
      <c r="M26" s="1"/>
      <c r="N26" s="1"/>
      <c r="O26" s="1"/>
      <c r="P26" s="1"/>
      <c r="Q26" s="1"/>
      <c r="R26" s="1"/>
      <c r="S26" s="1"/>
      <c r="T26" s="1"/>
      <c r="U26" s="1"/>
      <c r="V26" s="1"/>
      <c r="W26" s="1"/>
      <c r="X26" s="1"/>
      <c r="Y26" s="1"/>
      <c r="Z26" s="1"/>
      <c r="AA26" s="1"/>
      <c r="AB26" s="4"/>
      <c r="AC26" s="4"/>
    </row>
    <row r="27" spans="1:29" ht="19.5" customHeight="1">
      <c r="A27" s="50" t="s">
        <v>28</v>
      </c>
      <c r="B27" s="61"/>
      <c r="C27" s="51">
        <f aca="true" t="shared" si="8" ref="C27:J27">SUM(C28:C39)</f>
        <v>38710.99998461562</v>
      </c>
      <c r="D27" s="51">
        <f t="shared" si="8"/>
        <v>47210</v>
      </c>
      <c r="E27" s="51">
        <f t="shared" si="8"/>
        <v>39460</v>
      </c>
      <c r="F27" s="51">
        <f t="shared" si="8"/>
        <v>39460</v>
      </c>
      <c r="G27" s="51">
        <f t="shared" si="8"/>
        <v>47460</v>
      </c>
      <c r="H27" s="51">
        <f t="shared" si="8"/>
        <v>40960</v>
      </c>
      <c r="I27" s="51">
        <f t="shared" si="8"/>
        <v>66460</v>
      </c>
      <c r="J27" s="51">
        <f t="shared" si="8"/>
        <v>39960</v>
      </c>
      <c r="K27" s="51">
        <f aca="true" t="shared" si="9" ref="K27:V27">SUM(K28:K39)</f>
        <v>40126.666666666664</v>
      </c>
      <c r="L27" s="51">
        <f t="shared" si="9"/>
        <v>39710</v>
      </c>
      <c r="M27" s="51">
        <f t="shared" si="9"/>
        <v>39710</v>
      </c>
      <c r="N27" s="51">
        <f t="shared" si="9"/>
        <v>39710</v>
      </c>
      <c r="O27" s="51">
        <f t="shared" si="9"/>
        <v>40760</v>
      </c>
      <c r="P27" s="51">
        <f t="shared" si="9"/>
        <v>40760</v>
      </c>
      <c r="Q27" s="51">
        <f t="shared" si="9"/>
        <v>40760</v>
      </c>
      <c r="R27" s="51">
        <f t="shared" si="9"/>
        <v>40760</v>
      </c>
      <c r="S27" s="51">
        <f t="shared" si="9"/>
        <v>40760</v>
      </c>
      <c r="T27" s="51">
        <f t="shared" si="9"/>
        <v>40760</v>
      </c>
      <c r="U27" s="51">
        <f t="shared" si="9"/>
        <v>40760</v>
      </c>
      <c r="V27" s="51">
        <f t="shared" si="9"/>
        <v>40760</v>
      </c>
      <c r="W27" s="51">
        <f>SUM(W28:W39)</f>
        <v>40760</v>
      </c>
      <c r="X27" s="51">
        <f>SUM(X28:X39)</f>
        <v>40760</v>
      </c>
      <c r="Y27" s="51">
        <f>SUM(Y28:Y39)</f>
        <v>40760</v>
      </c>
      <c r="Z27" s="51">
        <f>SUM(Z28:Z39)</f>
        <v>40760</v>
      </c>
      <c r="AA27" s="52">
        <f>SUM(AA28:AA39)</f>
        <v>1008057.6666512822</v>
      </c>
      <c r="AB27" s="4"/>
      <c r="AC27" s="4"/>
    </row>
    <row r="28" spans="1:29" ht="19.5" customHeight="1">
      <c r="A28" s="41"/>
      <c r="B28" s="27" t="s">
        <v>29</v>
      </c>
      <c r="C28" s="67">
        <v>35000</v>
      </c>
      <c r="D28" s="20">
        <v>35000</v>
      </c>
      <c r="E28" s="20">
        <v>35000</v>
      </c>
      <c r="F28" s="20">
        <v>35000</v>
      </c>
      <c r="G28" s="20">
        <v>35000</v>
      </c>
      <c r="H28" s="20">
        <v>35000</v>
      </c>
      <c r="I28" s="20">
        <v>35000</v>
      </c>
      <c r="J28" s="20">
        <v>35000</v>
      </c>
      <c r="K28" s="20">
        <v>35000</v>
      </c>
      <c r="L28" s="20">
        <v>35000</v>
      </c>
      <c r="M28" s="20">
        <v>35000</v>
      </c>
      <c r="N28" s="20">
        <v>35000</v>
      </c>
      <c r="O28" s="20">
        <f>35000*1.03</f>
        <v>36050</v>
      </c>
      <c r="P28" s="20">
        <f aca="true" t="shared" si="10" ref="P28:Z28">35000*1.03</f>
        <v>36050</v>
      </c>
      <c r="Q28" s="20">
        <f t="shared" si="10"/>
        <v>36050</v>
      </c>
      <c r="R28" s="20">
        <f t="shared" si="10"/>
        <v>36050</v>
      </c>
      <c r="S28" s="20">
        <f t="shared" si="10"/>
        <v>36050</v>
      </c>
      <c r="T28" s="20">
        <f t="shared" si="10"/>
        <v>36050</v>
      </c>
      <c r="U28" s="20">
        <f t="shared" si="10"/>
        <v>36050</v>
      </c>
      <c r="V28" s="20">
        <f t="shared" si="10"/>
        <v>36050</v>
      </c>
      <c r="W28" s="20">
        <f t="shared" si="10"/>
        <v>36050</v>
      </c>
      <c r="X28" s="20">
        <f t="shared" si="10"/>
        <v>36050</v>
      </c>
      <c r="Y28" s="20">
        <f t="shared" si="10"/>
        <v>36050</v>
      </c>
      <c r="Z28" s="20">
        <f t="shared" si="10"/>
        <v>36050</v>
      </c>
      <c r="AA28" s="53">
        <f aca="true" t="shared" si="11" ref="AA28:AA39">SUM(C28:Z28)</f>
        <v>852600</v>
      </c>
      <c r="AB28" s="4"/>
      <c r="AC28" s="4"/>
    </row>
    <row r="29" spans="1:29" ht="19.5" customHeight="1">
      <c r="A29" s="41"/>
      <c r="B29" s="27" t="s">
        <v>30</v>
      </c>
      <c r="C29" s="67">
        <v>2500</v>
      </c>
      <c r="D29" s="20">
        <v>2500</v>
      </c>
      <c r="E29" s="20">
        <v>2500</v>
      </c>
      <c r="F29" s="20">
        <v>2500</v>
      </c>
      <c r="G29" s="20">
        <v>2500</v>
      </c>
      <c r="H29" s="20">
        <v>2500</v>
      </c>
      <c r="I29" s="20">
        <v>2500</v>
      </c>
      <c r="J29" s="20">
        <v>2500</v>
      </c>
      <c r="K29" s="20">
        <v>2500</v>
      </c>
      <c r="L29" s="20">
        <v>2500</v>
      </c>
      <c r="M29" s="20">
        <v>2500</v>
      </c>
      <c r="N29" s="20">
        <v>2500</v>
      </c>
      <c r="O29" s="20">
        <v>2500</v>
      </c>
      <c r="P29" s="20">
        <v>2500</v>
      </c>
      <c r="Q29" s="20">
        <v>2500</v>
      </c>
      <c r="R29" s="20">
        <v>2500</v>
      </c>
      <c r="S29" s="20">
        <v>2500</v>
      </c>
      <c r="T29" s="20">
        <v>2500</v>
      </c>
      <c r="U29" s="20">
        <v>2500</v>
      </c>
      <c r="V29" s="20">
        <v>2500</v>
      </c>
      <c r="W29" s="20">
        <v>2500</v>
      </c>
      <c r="X29" s="20">
        <v>2500</v>
      </c>
      <c r="Y29" s="20">
        <v>2500</v>
      </c>
      <c r="Z29" s="20">
        <v>2500</v>
      </c>
      <c r="AA29" s="53">
        <f t="shared" si="11"/>
        <v>60000</v>
      </c>
      <c r="AB29" s="4"/>
      <c r="AC29" s="4"/>
    </row>
    <row r="30" spans="1:29" ht="19.5" customHeight="1">
      <c r="A30" s="41"/>
      <c r="B30" s="27" t="s">
        <v>31</v>
      </c>
      <c r="C30" s="67">
        <v>660</v>
      </c>
      <c r="D30" s="67">
        <v>660</v>
      </c>
      <c r="E30" s="67">
        <v>660</v>
      </c>
      <c r="F30" s="67">
        <v>660</v>
      </c>
      <c r="G30" s="67">
        <v>660</v>
      </c>
      <c r="H30" s="67">
        <v>660</v>
      </c>
      <c r="I30" s="67">
        <v>660</v>
      </c>
      <c r="J30" s="67">
        <v>660</v>
      </c>
      <c r="K30" s="67">
        <v>660</v>
      </c>
      <c r="L30" s="67">
        <v>660</v>
      </c>
      <c r="M30" s="67">
        <v>660</v>
      </c>
      <c r="N30" s="67">
        <v>660</v>
      </c>
      <c r="O30" s="67">
        <v>660</v>
      </c>
      <c r="P30" s="67">
        <v>660</v>
      </c>
      <c r="Q30" s="67">
        <v>660</v>
      </c>
      <c r="R30" s="67">
        <v>660</v>
      </c>
      <c r="S30" s="67">
        <v>660</v>
      </c>
      <c r="T30" s="67">
        <v>660</v>
      </c>
      <c r="U30" s="67">
        <v>660</v>
      </c>
      <c r="V30" s="67">
        <v>660</v>
      </c>
      <c r="W30" s="67">
        <v>660</v>
      </c>
      <c r="X30" s="67">
        <v>660</v>
      </c>
      <c r="Y30" s="67">
        <v>660</v>
      </c>
      <c r="Z30" s="67">
        <v>660</v>
      </c>
      <c r="AA30" s="53">
        <f t="shared" si="11"/>
        <v>15840</v>
      </c>
      <c r="AB30" s="4"/>
      <c r="AC30" s="4"/>
    </row>
    <row r="31" spans="1:29" ht="19.5" customHeight="1">
      <c r="A31" s="41"/>
      <c r="B31" s="27" t="s">
        <v>32</v>
      </c>
      <c r="C31" s="67">
        <v>0</v>
      </c>
      <c r="D31" s="20">
        <v>250</v>
      </c>
      <c r="E31" s="20">
        <v>500</v>
      </c>
      <c r="F31" s="20">
        <v>500</v>
      </c>
      <c r="G31" s="20">
        <v>500</v>
      </c>
      <c r="H31" s="20"/>
      <c r="I31" s="20"/>
      <c r="J31" s="20">
        <v>500</v>
      </c>
      <c r="K31" s="20">
        <v>500</v>
      </c>
      <c r="L31" s="20"/>
      <c r="M31" s="20"/>
      <c r="N31" s="20"/>
      <c r="O31" s="20"/>
      <c r="P31" s="20"/>
      <c r="Q31" s="20"/>
      <c r="R31" s="20"/>
      <c r="S31" s="20"/>
      <c r="T31" s="20"/>
      <c r="U31" s="20"/>
      <c r="V31" s="20"/>
      <c r="W31" s="20"/>
      <c r="X31" s="20"/>
      <c r="Y31" s="20"/>
      <c r="Z31" s="20"/>
      <c r="AA31" s="53">
        <f t="shared" si="11"/>
        <v>2750</v>
      </c>
      <c r="AB31" s="4"/>
      <c r="AC31" s="4"/>
    </row>
    <row r="32" spans="1:29" ht="19.5" customHeight="1">
      <c r="A32" s="41"/>
      <c r="B32" s="30" t="s">
        <v>40</v>
      </c>
      <c r="C32" s="67">
        <v>150</v>
      </c>
      <c r="D32" s="67">
        <v>150</v>
      </c>
      <c r="E32" s="67">
        <v>150</v>
      </c>
      <c r="F32" s="67">
        <v>150</v>
      </c>
      <c r="G32" s="67">
        <v>150</v>
      </c>
      <c r="H32" s="67">
        <v>150</v>
      </c>
      <c r="I32" s="67">
        <v>150</v>
      </c>
      <c r="J32" s="67">
        <v>150</v>
      </c>
      <c r="K32" s="67">
        <v>150</v>
      </c>
      <c r="L32" s="67">
        <v>150</v>
      </c>
      <c r="M32" s="67">
        <v>150</v>
      </c>
      <c r="N32" s="67">
        <v>150</v>
      </c>
      <c r="O32" s="67">
        <v>150</v>
      </c>
      <c r="P32" s="67">
        <v>150</v>
      </c>
      <c r="Q32" s="67">
        <v>150</v>
      </c>
      <c r="R32" s="67">
        <v>150</v>
      </c>
      <c r="S32" s="67">
        <v>150</v>
      </c>
      <c r="T32" s="67">
        <v>150</v>
      </c>
      <c r="U32" s="67">
        <v>150</v>
      </c>
      <c r="V32" s="67">
        <v>150</v>
      </c>
      <c r="W32" s="67">
        <v>150</v>
      </c>
      <c r="X32" s="67">
        <v>150</v>
      </c>
      <c r="Y32" s="67">
        <v>150</v>
      </c>
      <c r="Z32" s="67">
        <v>150</v>
      </c>
      <c r="AA32" s="53">
        <f t="shared" si="11"/>
        <v>3600</v>
      </c>
      <c r="AB32" s="4"/>
      <c r="AC32" s="4"/>
    </row>
    <row r="33" spans="1:29" ht="19.5" customHeight="1">
      <c r="A33" s="41"/>
      <c r="B33" s="30" t="s">
        <v>41</v>
      </c>
      <c r="C33" s="67">
        <v>0</v>
      </c>
      <c r="D33" s="20"/>
      <c r="E33" s="20"/>
      <c r="F33" s="20"/>
      <c r="G33" s="20">
        <v>1500</v>
      </c>
      <c r="H33" s="20">
        <v>2000</v>
      </c>
      <c r="I33" s="20">
        <f>I23/3</f>
        <v>500</v>
      </c>
      <c r="J33" s="20">
        <f>J23/3</f>
        <v>500</v>
      </c>
      <c r="K33" s="20">
        <f>K23/3</f>
        <v>666.6666666666666</v>
      </c>
      <c r="L33" s="20">
        <v>750</v>
      </c>
      <c r="M33" s="20">
        <v>750</v>
      </c>
      <c r="N33" s="20">
        <v>750</v>
      </c>
      <c r="O33" s="20">
        <v>750</v>
      </c>
      <c r="P33" s="20">
        <v>750</v>
      </c>
      <c r="Q33" s="20">
        <v>750</v>
      </c>
      <c r="R33" s="20">
        <v>750</v>
      </c>
      <c r="S33" s="20">
        <v>750</v>
      </c>
      <c r="T33" s="20">
        <v>750</v>
      </c>
      <c r="U33" s="20">
        <v>750</v>
      </c>
      <c r="V33" s="20">
        <v>750</v>
      </c>
      <c r="W33" s="20">
        <v>750</v>
      </c>
      <c r="X33" s="20">
        <v>750</v>
      </c>
      <c r="Y33" s="20">
        <v>750</v>
      </c>
      <c r="Z33" s="20">
        <v>750</v>
      </c>
      <c r="AA33" s="53">
        <f t="shared" si="11"/>
        <v>16416.666666666668</v>
      </c>
      <c r="AB33" s="4"/>
      <c r="AC33" s="4"/>
    </row>
    <row r="34" spans="1:29" ht="19.5" customHeight="1">
      <c r="A34" s="41"/>
      <c r="B34" s="30" t="s">
        <v>47</v>
      </c>
      <c r="C34" s="67">
        <f>SUM('Current Year Budget'!D33:K33)</f>
        <v>0.999984615621298</v>
      </c>
      <c r="D34" s="20">
        <v>5000</v>
      </c>
      <c r="E34" s="20"/>
      <c r="F34" s="20"/>
      <c r="G34" s="20">
        <v>6500</v>
      </c>
      <c r="H34" s="20"/>
      <c r="I34" s="20"/>
      <c r="J34" s="20"/>
      <c r="K34" s="20"/>
      <c r="L34" s="20"/>
      <c r="M34" s="20"/>
      <c r="N34" s="20"/>
      <c r="O34" s="20"/>
      <c r="P34" s="20"/>
      <c r="Q34" s="20"/>
      <c r="R34" s="20"/>
      <c r="S34" s="20"/>
      <c r="T34" s="20"/>
      <c r="U34" s="20"/>
      <c r="V34" s="20"/>
      <c r="W34" s="20"/>
      <c r="X34" s="20"/>
      <c r="Y34" s="20"/>
      <c r="Z34" s="20"/>
      <c r="AA34" s="53">
        <f t="shared" si="11"/>
        <v>11500.99998461562</v>
      </c>
      <c r="AB34" s="4"/>
      <c r="AC34" s="4"/>
    </row>
    <row r="35" spans="1:29" ht="19.5" customHeight="1">
      <c r="A35" s="41"/>
      <c r="B35" s="30" t="s">
        <v>38</v>
      </c>
      <c r="C35" s="67">
        <f>SUM('Current Year Budget'!D34:K34)</f>
        <v>0</v>
      </c>
      <c r="D35" s="20"/>
      <c r="E35" s="20"/>
      <c r="F35" s="20"/>
      <c r="G35" s="20"/>
      <c r="H35" s="20"/>
      <c r="I35" s="20">
        <v>27000</v>
      </c>
      <c r="J35" s="20"/>
      <c r="K35" s="20"/>
      <c r="L35" s="20"/>
      <c r="M35" s="20"/>
      <c r="N35" s="20"/>
      <c r="O35" s="20"/>
      <c r="P35" s="20"/>
      <c r="Q35" s="20"/>
      <c r="R35" s="20"/>
      <c r="S35" s="20"/>
      <c r="T35" s="20"/>
      <c r="U35" s="20"/>
      <c r="V35" s="20"/>
      <c r="W35" s="20"/>
      <c r="X35" s="20"/>
      <c r="Y35" s="20"/>
      <c r="Z35" s="20"/>
      <c r="AA35" s="53">
        <f t="shared" si="11"/>
        <v>27000</v>
      </c>
      <c r="AB35" s="4"/>
      <c r="AC35" s="4"/>
    </row>
    <row r="36" spans="1:29" ht="19.5" customHeight="1">
      <c r="A36" s="41"/>
      <c r="B36" s="27" t="s">
        <v>33</v>
      </c>
      <c r="C36" s="67">
        <v>150</v>
      </c>
      <c r="D36" s="20">
        <v>150</v>
      </c>
      <c r="E36" s="20">
        <v>150</v>
      </c>
      <c r="F36" s="20">
        <v>150</v>
      </c>
      <c r="G36" s="20">
        <v>150</v>
      </c>
      <c r="H36" s="20">
        <v>150</v>
      </c>
      <c r="I36" s="20">
        <v>150</v>
      </c>
      <c r="J36" s="20">
        <v>150</v>
      </c>
      <c r="K36" s="20">
        <v>150</v>
      </c>
      <c r="L36" s="20">
        <v>150</v>
      </c>
      <c r="M36" s="20">
        <v>150</v>
      </c>
      <c r="N36" s="20">
        <v>150</v>
      </c>
      <c r="O36" s="20">
        <v>150</v>
      </c>
      <c r="P36" s="20">
        <v>150</v>
      </c>
      <c r="Q36" s="20">
        <v>150</v>
      </c>
      <c r="R36" s="20">
        <v>150</v>
      </c>
      <c r="S36" s="20">
        <v>150</v>
      </c>
      <c r="T36" s="20">
        <v>150</v>
      </c>
      <c r="U36" s="20">
        <v>150</v>
      </c>
      <c r="V36" s="20">
        <v>150</v>
      </c>
      <c r="W36" s="20">
        <v>150</v>
      </c>
      <c r="X36" s="20">
        <v>150</v>
      </c>
      <c r="Y36" s="20">
        <v>150</v>
      </c>
      <c r="Z36" s="20">
        <v>150</v>
      </c>
      <c r="AA36" s="53">
        <f t="shared" si="11"/>
        <v>3600</v>
      </c>
      <c r="AB36" s="4"/>
      <c r="AC36" s="4"/>
    </row>
    <row r="37" spans="1:29" ht="19.5" customHeight="1">
      <c r="A37" s="41"/>
      <c r="B37" s="27" t="s">
        <v>34</v>
      </c>
      <c r="C37" s="67">
        <f>SUM('Current Year Budget'!D36:K36)</f>
        <v>0</v>
      </c>
      <c r="D37" s="20">
        <v>3000</v>
      </c>
      <c r="E37" s="20"/>
      <c r="F37" s="20"/>
      <c r="G37" s="20"/>
      <c r="H37" s="20"/>
      <c r="I37" s="20"/>
      <c r="J37" s="20"/>
      <c r="K37" s="20"/>
      <c r="L37" s="20"/>
      <c r="M37" s="20"/>
      <c r="N37" s="20"/>
      <c r="O37" s="20"/>
      <c r="P37" s="20"/>
      <c r="Q37" s="20"/>
      <c r="R37" s="20"/>
      <c r="S37" s="20"/>
      <c r="T37" s="20"/>
      <c r="U37" s="20"/>
      <c r="V37" s="20"/>
      <c r="W37" s="20"/>
      <c r="X37" s="20"/>
      <c r="Y37" s="20"/>
      <c r="Z37" s="20"/>
      <c r="AA37" s="53">
        <f t="shared" si="11"/>
        <v>3000</v>
      </c>
      <c r="AB37" s="4"/>
      <c r="AC37" s="4"/>
    </row>
    <row r="38" spans="1:29" ht="26.25" customHeight="1">
      <c r="A38" s="41"/>
      <c r="B38" s="62" t="s">
        <v>39</v>
      </c>
      <c r="C38" s="67">
        <f>SUM('Current Year Budget'!D37:K37)</f>
        <v>0</v>
      </c>
      <c r="D38" s="20"/>
      <c r="E38" s="20"/>
      <c r="F38" s="20"/>
      <c r="G38" s="20"/>
      <c r="H38" s="20"/>
      <c r="I38" s="20"/>
      <c r="J38" s="20"/>
      <c r="K38" s="20"/>
      <c r="L38" s="20"/>
      <c r="M38" s="20"/>
      <c r="N38" s="20"/>
      <c r="O38" s="20"/>
      <c r="P38" s="20"/>
      <c r="Q38" s="20"/>
      <c r="R38" s="20"/>
      <c r="S38" s="20"/>
      <c r="T38" s="20"/>
      <c r="U38" s="20"/>
      <c r="V38" s="20"/>
      <c r="W38" s="20"/>
      <c r="X38" s="20"/>
      <c r="Y38" s="20"/>
      <c r="Z38" s="20"/>
      <c r="AA38" s="53">
        <f t="shared" si="11"/>
        <v>0</v>
      </c>
      <c r="AB38" s="4"/>
      <c r="AC38" s="4"/>
    </row>
    <row r="39" spans="1:29" ht="19.5" customHeight="1" thickBot="1">
      <c r="A39" s="54"/>
      <c r="B39" s="63" t="s">
        <v>35</v>
      </c>
      <c r="C39" s="67">
        <v>250</v>
      </c>
      <c r="D39" s="38">
        <v>500</v>
      </c>
      <c r="E39" s="38">
        <v>500</v>
      </c>
      <c r="F39" s="38">
        <v>500</v>
      </c>
      <c r="G39" s="38">
        <v>500</v>
      </c>
      <c r="H39" s="38">
        <v>500</v>
      </c>
      <c r="I39" s="38">
        <v>500</v>
      </c>
      <c r="J39" s="38">
        <v>500</v>
      </c>
      <c r="K39" s="38">
        <v>500</v>
      </c>
      <c r="L39" s="38">
        <v>500</v>
      </c>
      <c r="M39" s="38">
        <v>500</v>
      </c>
      <c r="N39" s="38">
        <v>500</v>
      </c>
      <c r="O39" s="38">
        <v>500</v>
      </c>
      <c r="P39" s="38">
        <v>500</v>
      </c>
      <c r="Q39" s="38">
        <v>500</v>
      </c>
      <c r="R39" s="38">
        <v>500</v>
      </c>
      <c r="S39" s="38">
        <v>500</v>
      </c>
      <c r="T39" s="38">
        <v>500</v>
      </c>
      <c r="U39" s="38">
        <v>500</v>
      </c>
      <c r="V39" s="38">
        <v>500</v>
      </c>
      <c r="W39" s="38">
        <v>500</v>
      </c>
      <c r="X39" s="38">
        <v>500</v>
      </c>
      <c r="Y39" s="38">
        <v>500</v>
      </c>
      <c r="Z39" s="38">
        <v>500</v>
      </c>
      <c r="AA39" s="56">
        <f t="shared" si="11"/>
        <v>11750</v>
      </c>
      <c r="AB39" s="4"/>
      <c r="AC39" s="4"/>
    </row>
    <row r="40" ht="10.5" customHeight="1" thickBot="1"/>
    <row r="41" spans="1:27" ht="24" customHeight="1" thickBot="1">
      <c r="A41" s="60"/>
      <c r="B41" s="57" t="s">
        <v>46</v>
      </c>
      <c r="C41" s="58">
        <f aca="true" t="shared" si="12" ref="C41:AA41">C7-C27</f>
        <v>14064.00001538438</v>
      </c>
      <c r="D41" s="58">
        <f t="shared" si="12"/>
        <v>-41135</v>
      </c>
      <c r="E41" s="58">
        <f t="shared" si="12"/>
        <v>-38335</v>
      </c>
      <c r="F41" s="58">
        <f t="shared" si="12"/>
        <v>-33935</v>
      </c>
      <c r="G41" s="58">
        <f t="shared" si="12"/>
        <v>48065</v>
      </c>
      <c r="H41" s="58">
        <f t="shared" si="12"/>
        <v>14565</v>
      </c>
      <c r="I41" s="58">
        <f t="shared" si="12"/>
        <v>-39185</v>
      </c>
      <c r="J41" s="58">
        <f t="shared" si="12"/>
        <v>17315</v>
      </c>
      <c r="K41" s="58">
        <f aca="true" t="shared" si="13" ref="K41:V41">K7-K27</f>
        <v>2648.3333333333358</v>
      </c>
      <c r="L41" s="58">
        <f t="shared" si="13"/>
        <v>3565</v>
      </c>
      <c r="M41" s="58">
        <f t="shared" si="13"/>
        <v>18565</v>
      </c>
      <c r="N41" s="58">
        <f t="shared" si="13"/>
        <v>4565</v>
      </c>
      <c r="O41" s="58">
        <f t="shared" si="13"/>
        <v>3515</v>
      </c>
      <c r="P41" s="58">
        <f t="shared" si="13"/>
        <v>3515</v>
      </c>
      <c r="Q41" s="58">
        <f t="shared" si="13"/>
        <v>3515</v>
      </c>
      <c r="R41" s="58">
        <f t="shared" si="13"/>
        <v>3515</v>
      </c>
      <c r="S41" s="58">
        <f t="shared" si="13"/>
        <v>9765</v>
      </c>
      <c r="T41" s="58">
        <f t="shared" si="13"/>
        <v>9765</v>
      </c>
      <c r="U41" s="58">
        <f t="shared" si="13"/>
        <v>18515</v>
      </c>
      <c r="V41" s="58">
        <f t="shared" si="13"/>
        <v>3515</v>
      </c>
      <c r="W41" s="58">
        <f t="shared" si="12"/>
        <v>3515</v>
      </c>
      <c r="X41" s="58">
        <f t="shared" si="12"/>
        <v>-485</v>
      </c>
      <c r="Y41" s="58">
        <f t="shared" si="12"/>
        <v>14515</v>
      </c>
      <c r="Z41" s="58">
        <f t="shared" si="12"/>
        <v>3515</v>
      </c>
      <c r="AA41" s="59">
        <f t="shared" si="12"/>
        <v>47442.33334871777</v>
      </c>
    </row>
    <row r="42" ht="18" customHeight="1">
      <c r="B42" s="14" t="s">
        <v>42</v>
      </c>
    </row>
    <row r="43" ht="18" customHeight="1"/>
    <row r="44" spans="2:27" ht="12.75" customHeight="1">
      <c r="B44" s="72" t="s">
        <v>60</v>
      </c>
      <c r="C44" s="110">
        <f>C27/C4</f>
        <v>38710.99998461562</v>
      </c>
      <c r="D44" s="73">
        <f>D27</f>
        <v>47210</v>
      </c>
      <c r="E44" s="73">
        <f>(D27+E27)/2</f>
        <v>43335</v>
      </c>
      <c r="F44" s="73">
        <f>(F27+E27+D27)/3</f>
        <v>42043.333333333336</v>
      </c>
      <c r="G44" s="73">
        <f>(G27+F27+E27+D27)/4</f>
        <v>43397.5</v>
      </c>
      <c r="H44" s="73">
        <f>(SUM(D27:H27))/5</f>
        <v>42910</v>
      </c>
      <c r="I44" s="73">
        <f>(SUM(D27:I27))/6</f>
        <v>46835</v>
      </c>
      <c r="J44" s="73">
        <f>(SUM(D27:J27))/7</f>
        <v>45852.857142857145</v>
      </c>
      <c r="K44" s="73">
        <f>(SUM(D27:K27))/8</f>
        <v>45137.083333333336</v>
      </c>
      <c r="L44" s="73">
        <f>(SUM(D27:L27))/9</f>
        <v>44534.07407407407</v>
      </c>
      <c r="M44" s="73">
        <f>(SUM(D27:M27))/10</f>
        <v>44051.66666666667</v>
      </c>
      <c r="N44" s="73">
        <f>(SUM(D27:N27))/11</f>
        <v>43656.969696969696</v>
      </c>
      <c r="O44" s="73">
        <f>(SUM($D27:O27))/12</f>
        <v>43415.555555555555</v>
      </c>
      <c r="P44" s="73">
        <f>(SUM($D27:P27))/13</f>
        <v>43211.282051282054</v>
      </c>
      <c r="Q44" s="73">
        <f>(SUM($D27:Q27))/14</f>
        <v>43036.19047619048</v>
      </c>
      <c r="R44" s="73">
        <f>(SUM($D27:R27))/15</f>
        <v>42884.44444444445</v>
      </c>
      <c r="S44" s="73">
        <f>(SUM($D27:S27))/16</f>
        <v>42751.66666666667</v>
      </c>
      <c r="T44" s="73">
        <f>(SUM($D27:T27))/17</f>
        <v>42634.50980392157</v>
      </c>
      <c r="U44" s="73">
        <f>(SUM($D27:U27))/18</f>
        <v>42530.37037037037</v>
      </c>
      <c r="V44" s="73">
        <f>(SUM($D27:V27))/19</f>
        <v>42437.192982456145</v>
      </c>
      <c r="W44" s="73">
        <f>(SUM($D27:W27))/20</f>
        <v>42353.333333333336</v>
      </c>
      <c r="X44" s="73">
        <f>(SUM($D27:X27))/21</f>
        <v>42277.46031746032</v>
      </c>
      <c r="Y44" s="73">
        <f>(SUM($D27:Y27))/22</f>
        <v>42208.484848484855</v>
      </c>
      <c r="Z44" s="73">
        <f>(SUM($D27:Z27))/23</f>
        <v>42145.507246376816</v>
      </c>
      <c r="AA44" s="74">
        <f>(SUM(D27:AA27))/18</f>
        <v>109855.79629544161</v>
      </c>
    </row>
    <row r="45" ht="12.75" customHeight="1">
      <c r="C45" s="21"/>
    </row>
    <row r="46" spans="2:3" ht="12.75" customHeight="1">
      <c r="B46" s="45" t="s">
        <v>59</v>
      </c>
      <c r="C46" s="21"/>
    </row>
    <row r="47" ht="12.75" customHeight="1">
      <c r="C47" s="21"/>
    </row>
  </sheetData>
  <sheetProtection/>
  <mergeCells count="1">
    <mergeCell ref="A2:Z2"/>
  </mergeCells>
  <printOptions/>
  <pageMargins left="0.45" right="0.45" top="0.75" bottom="0.75" header="0.3" footer="0.3"/>
  <pageSetup fitToHeight="1" fitToWidth="1" horizontalDpi="1200" verticalDpi="1200" orientation="landscape" scale="1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Z22"/>
  <sheetViews>
    <sheetView zoomScale="75" zoomScaleNormal="75" zoomScalePageLayoutView="0" workbookViewId="0" topLeftCell="A3">
      <selection activeCell="E5" sqref="E5"/>
    </sheetView>
  </sheetViews>
  <sheetFormatPr defaultColWidth="16.28125" defaultRowHeight="12.75" customHeight="1"/>
  <cols>
    <col min="1" max="1" width="1.7109375" style="6" customWidth="1"/>
    <col min="2" max="2" width="35.28125" style="6" customWidth="1"/>
    <col min="3" max="3" width="15.7109375" style="6" customWidth="1"/>
    <col min="4" max="26" width="15.00390625" style="6" customWidth="1"/>
    <col min="27" max="49" width="16.421875" style="21" customWidth="1"/>
    <col min="50" max="52" width="16.421875" style="6" customWidth="1"/>
    <col min="53" max="16384" width="16.28125" style="9" customWidth="1"/>
  </cols>
  <sheetData>
    <row r="1" spans="2:25" ht="32.25" customHeight="1">
      <c r="B1" s="47" t="s">
        <v>49</v>
      </c>
      <c r="X1" s="46"/>
      <c r="Y1" s="49" t="s">
        <v>50</v>
      </c>
    </row>
    <row r="2" spans="1:52" s="8" customFormat="1" ht="22.5" customHeight="1">
      <c r="A2" s="124" t="s">
        <v>56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5"/>
      <c r="AY2" s="5"/>
      <c r="AZ2" s="5"/>
    </row>
    <row r="3" s="4" customFormat="1" ht="26.25" customHeight="1">
      <c r="B3" s="25" t="s">
        <v>115</v>
      </c>
    </row>
    <row r="4" s="4" customFormat="1" ht="16.5" customHeight="1" thickBot="1">
      <c r="A4" s="22"/>
    </row>
    <row r="5" spans="1:26" s="4" customFormat="1" ht="16.5" customHeight="1" thickBot="1">
      <c r="A5" s="22"/>
      <c r="B5" s="69" t="s">
        <v>102</v>
      </c>
      <c r="D5" s="80">
        <v>156000</v>
      </c>
      <c r="E5" s="106"/>
      <c r="F5" s="106"/>
      <c r="G5" s="106"/>
      <c r="H5" s="106"/>
      <c r="I5" s="106"/>
      <c r="J5" s="106"/>
      <c r="K5" s="106"/>
      <c r="L5" s="65"/>
      <c r="M5" s="65"/>
      <c r="N5" s="65"/>
      <c r="O5" s="65"/>
      <c r="P5" s="65"/>
      <c r="Q5" s="65"/>
      <c r="R5" s="65"/>
      <c r="S5" s="65"/>
      <c r="T5" s="65"/>
      <c r="U5" s="65"/>
      <c r="V5" s="65"/>
      <c r="W5" s="65"/>
      <c r="X5" s="65"/>
      <c r="Y5" s="65"/>
      <c r="Z5" s="65"/>
    </row>
    <row r="6" spans="1:26" s="4" customFormat="1" ht="6" customHeight="1">
      <c r="A6" s="22"/>
      <c r="C6" s="65"/>
      <c r="D6" s="65"/>
      <c r="E6" s="65"/>
      <c r="F6" s="65"/>
      <c r="G6" s="65"/>
      <c r="H6" s="65"/>
      <c r="I6" s="65"/>
      <c r="J6" s="65"/>
      <c r="K6" s="65"/>
      <c r="L6" s="65"/>
      <c r="M6" s="65"/>
      <c r="N6" s="65"/>
      <c r="O6" s="65"/>
      <c r="P6" s="65"/>
      <c r="Q6" s="65"/>
      <c r="R6" s="65"/>
      <c r="S6" s="65"/>
      <c r="T6" s="65"/>
      <c r="U6" s="65"/>
      <c r="V6" s="65"/>
      <c r="W6" s="65"/>
      <c r="X6" s="65"/>
      <c r="Y6" s="65"/>
      <c r="Z6" s="65"/>
    </row>
    <row r="7" spans="1:26" s="4" customFormat="1" ht="16.5" customHeight="1">
      <c r="A7" s="22"/>
      <c r="C7" s="65" t="s">
        <v>55</v>
      </c>
      <c r="D7" s="65" t="s">
        <v>82</v>
      </c>
      <c r="E7" s="65" t="s">
        <v>83</v>
      </c>
      <c r="F7" s="65" t="s">
        <v>86</v>
      </c>
      <c r="G7" s="65" t="s">
        <v>87</v>
      </c>
      <c r="H7" s="65" t="s">
        <v>88</v>
      </c>
      <c r="I7" s="65" t="s">
        <v>89</v>
      </c>
      <c r="J7" s="65" t="s">
        <v>90</v>
      </c>
      <c r="K7" s="65" t="s">
        <v>91</v>
      </c>
      <c r="L7" s="65" t="s">
        <v>92</v>
      </c>
      <c r="M7" s="65" t="s">
        <v>93</v>
      </c>
      <c r="N7" s="65" t="s">
        <v>94</v>
      </c>
      <c r="O7" s="65" t="s">
        <v>95</v>
      </c>
      <c r="P7" s="65" t="s">
        <v>84</v>
      </c>
      <c r="Q7" s="65" t="s">
        <v>85</v>
      </c>
      <c r="R7" s="65" t="s">
        <v>96</v>
      </c>
      <c r="S7" s="65" t="s">
        <v>97</v>
      </c>
      <c r="T7" s="65" t="s">
        <v>98</v>
      </c>
      <c r="U7" s="65" t="s">
        <v>108</v>
      </c>
      <c r="V7" s="65" t="s">
        <v>109</v>
      </c>
      <c r="W7" s="65" t="s">
        <v>110</v>
      </c>
      <c r="X7" s="65" t="s">
        <v>111</v>
      </c>
      <c r="Y7" s="65" t="s">
        <v>112</v>
      </c>
      <c r="Z7" s="65" t="s">
        <v>113</v>
      </c>
    </row>
    <row r="8" spans="1:52" ht="21" customHeight="1" thickBot="1">
      <c r="A8" s="10"/>
      <c r="B8" s="44" t="s">
        <v>63</v>
      </c>
      <c r="C8" s="1"/>
      <c r="D8" s="75">
        <f>C18</f>
        <v>220064.00001538437</v>
      </c>
      <c r="E8" s="75">
        <f>D18</f>
        <v>178929.00001538437</v>
      </c>
      <c r="F8" s="75">
        <f aca="true" t="shared" si="0" ref="F8:K8">E18</f>
        <v>140594.00001538437</v>
      </c>
      <c r="G8" s="75">
        <f t="shared" si="0"/>
        <v>106659.00001538437</v>
      </c>
      <c r="H8" s="75">
        <f t="shared" si="0"/>
        <v>154724.00001538437</v>
      </c>
      <c r="I8" s="75">
        <f t="shared" si="0"/>
        <v>169289.00001538437</v>
      </c>
      <c r="J8" s="75">
        <f t="shared" si="0"/>
        <v>130104.00001538437</v>
      </c>
      <c r="K8" s="75">
        <f t="shared" si="0"/>
        <v>147419.00001538437</v>
      </c>
      <c r="L8" s="75">
        <f aca="true" t="shared" si="1" ref="L8:Z8">K18</f>
        <v>150067.33334871772</v>
      </c>
      <c r="M8" s="75">
        <f t="shared" si="1"/>
        <v>153632.33334871772</v>
      </c>
      <c r="N8" s="75">
        <f t="shared" si="1"/>
        <v>172197.33334871772</v>
      </c>
      <c r="O8" s="75">
        <f t="shared" si="1"/>
        <v>176762.33334871772</v>
      </c>
      <c r="P8" s="75">
        <f t="shared" si="1"/>
        <v>195277.33334871772</v>
      </c>
      <c r="Q8" s="75">
        <f t="shared" si="1"/>
        <v>198792.33334871772</v>
      </c>
      <c r="R8" s="75">
        <f t="shared" si="1"/>
        <v>202307.33334871772</v>
      </c>
      <c r="S8" s="75">
        <f t="shared" si="1"/>
        <v>205822.33334871772</v>
      </c>
      <c r="T8" s="75">
        <f t="shared" si="1"/>
        <v>215587.33334871772</v>
      </c>
      <c r="U8" s="75">
        <f t="shared" si="1"/>
        <v>225352.33334871772</v>
      </c>
      <c r="V8" s="75">
        <f t="shared" si="1"/>
        <v>243867.33334871772</v>
      </c>
      <c r="W8" s="75">
        <f t="shared" si="1"/>
        <v>247382.33334871772</v>
      </c>
      <c r="X8" s="75">
        <f t="shared" si="1"/>
        <v>250897.33334871772</v>
      </c>
      <c r="Y8" s="75">
        <f t="shared" si="1"/>
        <v>250412.33334871772</v>
      </c>
      <c r="Z8" s="75">
        <f t="shared" si="1"/>
        <v>264927.3333487177</v>
      </c>
      <c r="AA8" s="4"/>
      <c r="AB8" s="4"/>
      <c r="AC8" s="4"/>
      <c r="AD8" s="4"/>
      <c r="AE8" s="4"/>
      <c r="AF8" s="4"/>
      <c r="AG8" s="4"/>
      <c r="AH8" s="4"/>
      <c r="AI8" s="4"/>
      <c r="AJ8" s="4"/>
      <c r="AK8" s="4"/>
      <c r="AL8" s="4"/>
      <c r="AM8" s="4"/>
      <c r="AN8" s="4"/>
      <c r="AO8" s="4"/>
      <c r="AP8" s="4"/>
      <c r="AQ8" s="4"/>
      <c r="AR8" s="4"/>
      <c r="AS8" s="4"/>
      <c r="AT8" s="4"/>
      <c r="AU8" s="4"/>
      <c r="AV8" s="4"/>
      <c r="AW8" s="4"/>
      <c r="AX8" s="1"/>
      <c r="AY8" s="1"/>
      <c r="AZ8" s="1"/>
    </row>
    <row r="9" spans="1:52" ht="19.5" customHeight="1">
      <c r="A9" s="15" t="s">
        <v>57</v>
      </c>
      <c r="B9" s="16"/>
      <c r="C9" s="32">
        <f>SUM(C10:C11)</f>
        <v>102775</v>
      </c>
      <c r="D9" s="32">
        <f aca="true" t="shared" si="2" ref="D9:Z9">SUM(D10:D11)</f>
        <v>6075</v>
      </c>
      <c r="E9" s="32">
        <f t="shared" si="2"/>
        <v>1125</v>
      </c>
      <c r="F9" s="32">
        <f t="shared" si="2"/>
        <v>5525</v>
      </c>
      <c r="G9" s="32">
        <f t="shared" si="2"/>
        <v>95525</v>
      </c>
      <c r="H9" s="32">
        <f t="shared" si="2"/>
        <v>55525</v>
      </c>
      <c r="I9" s="32">
        <f t="shared" si="2"/>
        <v>27275</v>
      </c>
      <c r="J9" s="32">
        <f t="shared" si="2"/>
        <v>57275</v>
      </c>
      <c r="K9" s="32">
        <f t="shared" si="2"/>
        <v>42775</v>
      </c>
      <c r="L9" s="32">
        <f t="shared" si="2"/>
        <v>43275</v>
      </c>
      <c r="M9" s="32">
        <f t="shared" si="2"/>
        <v>58275</v>
      </c>
      <c r="N9" s="32">
        <f t="shared" si="2"/>
        <v>44275</v>
      </c>
      <c r="O9" s="32">
        <f t="shared" si="2"/>
        <v>59275</v>
      </c>
      <c r="P9" s="32">
        <f t="shared" si="2"/>
        <v>44275</v>
      </c>
      <c r="Q9" s="32">
        <f t="shared" si="2"/>
        <v>44275</v>
      </c>
      <c r="R9" s="32">
        <f t="shared" si="2"/>
        <v>44275</v>
      </c>
      <c r="S9" s="32">
        <f t="shared" si="2"/>
        <v>50525</v>
      </c>
      <c r="T9" s="32">
        <f t="shared" si="2"/>
        <v>50525</v>
      </c>
      <c r="U9" s="32">
        <f t="shared" si="2"/>
        <v>59275</v>
      </c>
      <c r="V9" s="32">
        <f t="shared" si="2"/>
        <v>44275</v>
      </c>
      <c r="W9" s="32">
        <f t="shared" si="2"/>
        <v>44275</v>
      </c>
      <c r="X9" s="32">
        <f t="shared" si="2"/>
        <v>40275</v>
      </c>
      <c r="Y9" s="32">
        <f t="shared" si="2"/>
        <v>55275</v>
      </c>
      <c r="Z9" s="32">
        <f t="shared" si="2"/>
        <v>44275</v>
      </c>
      <c r="AA9" s="4"/>
      <c r="AB9" s="4"/>
      <c r="AC9" s="4"/>
      <c r="AD9" s="4"/>
      <c r="AE9" s="4"/>
      <c r="AF9" s="4"/>
      <c r="AG9" s="4"/>
      <c r="AH9" s="4"/>
      <c r="AI9" s="4"/>
      <c r="AJ9" s="4"/>
      <c r="AK9" s="4"/>
      <c r="AL9" s="4"/>
      <c r="AM9" s="4"/>
      <c r="AN9" s="4"/>
      <c r="AO9" s="4"/>
      <c r="AP9" s="4"/>
      <c r="AQ9" s="4"/>
      <c r="AR9" s="4"/>
      <c r="AS9" s="4"/>
      <c r="AT9" s="4"/>
      <c r="AU9" s="4"/>
      <c r="AV9" s="4"/>
      <c r="AW9" s="4"/>
      <c r="AX9" s="1"/>
      <c r="AY9" s="1"/>
      <c r="AZ9" s="1"/>
    </row>
    <row r="10" spans="1:52" ht="19.5" customHeight="1">
      <c r="A10" s="42"/>
      <c r="B10" s="70" t="s">
        <v>58</v>
      </c>
      <c r="C10" s="71">
        <f>'Actuals and Projection'!C7</f>
        <v>52775</v>
      </c>
      <c r="D10" s="67">
        <f>'Actuals and Projection'!D7</f>
        <v>6075</v>
      </c>
      <c r="E10" s="67">
        <f>'Actuals and Projection'!E7</f>
        <v>1125</v>
      </c>
      <c r="F10" s="67">
        <f>'Actuals and Projection'!F7</f>
        <v>5525</v>
      </c>
      <c r="G10" s="67">
        <f>'Actuals and Projection'!G7</f>
        <v>95525</v>
      </c>
      <c r="H10" s="67">
        <f>'Actuals and Projection'!H7</f>
        <v>55525</v>
      </c>
      <c r="I10" s="67">
        <f>'Actuals and Projection'!I7</f>
        <v>27275</v>
      </c>
      <c r="J10" s="67">
        <f>'Actuals and Projection'!J7</f>
        <v>57275</v>
      </c>
      <c r="K10" s="67">
        <f>'Actuals and Projection'!K7</f>
        <v>42775</v>
      </c>
      <c r="L10" s="67">
        <f>'Actuals and Projection'!L7</f>
        <v>43275</v>
      </c>
      <c r="M10" s="67">
        <f>'Actuals and Projection'!M7</f>
        <v>58275</v>
      </c>
      <c r="N10" s="67">
        <f>'Actuals and Projection'!N7</f>
        <v>44275</v>
      </c>
      <c r="O10" s="67">
        <f>'Actuals and Projection'!O7</f>
        <v>44275</v>
      </c>
      <c r="P10" s="67">
        <f>'Actuals and Projection'!P7</f>
        <v>44275</v>
      </c>
      <c r="Q10" s="67">
        <f>'Actuals and Projection'!Q7</f>
        <v>44275</v>
      </c>
      <c r="R10" s="67">
        <f>'Actuals and Projection'!R7</f>
        <v>44275</v>
      </c>
      <c r="S10" s="67">
        <f>'Actuals and Projection'!S7</f>
        <v>50525</v>
      </c>
      <c r="T10" s="67">
        <f>'Actuals and Projection'!T7</f>
        <v>50525</v>
      </c>
      <c r="U10" s="67">
        <f>'Actuals and Projection'!U7</f>
        <v>59275</v>
      </c>
      <c r="V10" s="67">
        <f>'Actuals and Projection'!V7</f>
        <v>44275</v>
      </c>
      <c r="W10" s="67">
        <f>'Actuals and Projection'!W7</f>
        <v>44275</v>
      </c>
      <c r="X10" s="67">
        <f>'Actuals and Projection'!X7</f>
        <v>40275</v>
      </c>
      <c r="Y10" s="67">
        <f>'Actuals and Projection'!Y7</f>
        <v>55275</v>
      </c>
      <c r="Z10" s="67">
        <f>'Actuals and Projection'!Z7</f>
        <v>44275</v>
      </c>
      <c r="AA10" s="4"/>
      <c r="AB10" s="4"/>
      <c r="AC10" s="4"/>
      <c r="AD10" s="4"/>
      <c r="AE10" s="4"/>
      <c r="AF10" s="4"/>
      <c r="AG10" s="4"/>
      <c r="AH10" s="4"/>
      <c r="AI10" s="4"/>
      <c r="AJ10" s="4"/>
      <c r="AK10" s="4"/>
      <c r="AL10" s="4"/>
      <c r="AM10" s="4"/>
      <c r="AN10" s="4"/>
      <c r="AO10" s="4"/>
      <c r="AP10" s="4"/>
      <c r="AQ10" s="4"/>
      <c r="AR10" s="4"/>
      <c r="AS10" s="4"/>
      <c r="AT10" s="4"/>
      <c r="AU10" s="4"/>
      <c r="AV10" s="4"/>
      <c r="AW10" s="4"/>
      <c r="AX10" s="1"/>
      <c r="AY10" s="1"/>
      <c r="AZ10" s="1"/>
    </row>
    <row r="11" spans="1:52" ht="19.5" customHeight="1">
      <c r="A11" s="43"/>
      <c r="B11" s="70" t="s">
        <v>120</v>
      </c>
      <c r="C11" s="71">
        <v>50000</v>
      </c>
      <c r="D11" s="67"/>
      <c r="E11" s="67"/>
      <c r="F11" s="67"/>
      <c r="G11" s="67"/>
      <c r="H11" s="67"/>
      <c r="I11" s="67"/>
      <c r="J11" s="67"/>
      <c r="K11" s="67"/>
      <c r="L11" s="67"/>
      <c r="M11" s="67"/>
      <c r="N11" s="67"/>
      <c r="O11" s="67">
        <v>15000</v>
      </c>
      <c r="P11" s="67"/>
      <c r="Q11" s="67"/>
      <c r="R11" s="67"/>
      <c r="S11" s="67"/>
      <c r="T11" s="67"/>
      <c r="U11" s="67"/>
      <c r="V11" s="67"/>
      <c r="W11" s="67"/>
      <c r="X11" s="67"/>
      <c r="Y11" s="67"/>
      <c r="Z11" s="67"/>
      <c r="AA11" s="4"/>
      <c r="AB11" s="4"/>
      <c r="AC11" s="4"/>
      <c r="AD11" s="4"/>
      <c r="AE11" s="4"/>
      <c r="AF11" s="4"/>
      <c r="AG11" s="4"/>
      <c r="AH11" s="4"/>
      <c r="AI11" s="4"/>
      <c r="AJ11" s="4"/>
      <c r="AK11" s="4"/>
      <c r="AL11" s="4"/>
      <c r="AM11" s="4"/>
      <c r="AN11" s="4"/>
      <c r="AO11" s="4"/>
      <c r="AP11" s="4"/>
      <c r="AQ11" s="4"/>
      <c r="AR11" s="4"/>
      <c r="AS11" s="4"/>
      <c r="AT11" s="4"/>
      <c r="AU11" s="4"/>
      <c r="AV11" s="4"/>
      <c r="AW11" s="4"/>
      <c r="AX11" s="1"/>
      <c r="AY11" s="1"/>
      <c r="AZ11" s="1"/>
    </row>
    <row r="12" spans="1:52" ht="11.25" customHeight="1" thickBot="1">
      <c r="A12" s="1"/>
      <c r="B12" s="2"/>
      <c r="C12" s="1"/>
      <c r="D12" s="1"/>
      <c r="E12" s="1"/>
      <c r="F12" s="1"/>
      <c r="G12" s="1"/>
      <c r="H12" s="1"/>
      <c r="I12" s="1"/>
      <c r="J12" s="1"/>
      <c r="K12" s="1"/>
      <c r="L12" s="1"/>
      <c r="M12" s="1"/>
      <c r="N12" s="1"/>
      <c r="O12" s="1"/>
      <c r="P12" s="1"/>
      <c r="Q12" s="1"/>
      <c r="R12" s="1"/>
      <c r="S12" s="1"/>
      <c r="T12" s="1"/>
      <c r="U12" s="1"/>
      <c r="V12" s="1"/>
      <c r="W12" s="1"/>
      <c r="X12" s="1"/>
      <c r="Y12" s="1"/>
      <c r="Z12" s="1"/>
      <c r="AA12" s="4"/>
      <c r="AB12" s="4"/>
      <c r="AC12" s="4"/>
      <c r="AD12" s="4"/>
      <c r="AE12" s="4"/>
      <c r="AF12" s="4"/>
      <c r="AG12" s="4"/>
      <c r="AH12" s="4"/>
      <c r="AI12" s="4"/>
      <c r="AJ12" s="4"/>
      <c r="AK12" s="4"/>
      <c r="AL12" s="4"/>
      <c r="AM12" s="4"/>
      <c r="AN12" s="4"/>
      <c r="AO12" s="4"/>
      <c r="AP12" s="4"/>
      <c r="AQ12" s="4"/>
      <c r="AR12" s="4"/>
      <c r="AS12" s="4"/>
      <c r="AT12" s="4"/>
      <c r="AU12" s="4"/>
      <c r="AV12" s="4"/>
      <c r="AW12" s="4"/>
      <c r="AX12" s="1"/>
      <c r="AY12" s="1"/>
      <c r="AZ12" s="1"/>
    </row>
    <row r="13" spans="1:52" ht="19.5" customHeight="1">
      <c r="A13" s="50" t="s">
        <v>36</v>
      </c>
      <c r="B13" s="61"/>
      <c r="C13" s="51">
        <f>'Actuals and Projection'!C27</f>
        <v>38710.99998461562</v>
      </c>
      <c r="D13" s="51">
        <f>'Actuals and Projection'!D27</f>
        <v>47210</v>
      </c>
      <c r="E13" s="51">
        <f>'Actuals and Projection'!E27</f>
        <v>39460</v>
      </c>
      <c r="F13" s="51">
        <f>'Actuals and Projection'!F27</f>
        <v>39460</v>
      </c>
      <c r="G13" s="51">
        <f>'Actuals and Projection'!G27</f>
        <v>47460</v>
      </c>
      <c r="H13" s="51">
        <f>'Actuals and Projection'!H27</f>
        <v>40960</v>
      </c>
      <c r="I13" s="51">
        <f>'Actuals and Projection'!I27</f>
        <v>66460</v>
      </c>
      <c r="J13" s="51">
        <f>'Actuals and Projection'!J27</f>
        <v>39960</v>
      </c>
      <c r="K13" s="51">
        <f>'Actuals and Projection'!K27</f>
        <v>40126.666666666664</v>
      </c>
      <c r="L13" s="51">
        <f>'Actuals and Projection'!L27</f>
        <v>39710</v>
      </c>
      <c r="M13" s="51">
        <f>'Actuals and Projection'!M27</f>
        <v>39710</v>
      </c>
      <c r="N13" s="51">
        <f>'Actuals and Projection'!N27</f>
        <v>39710</v>
      </c>
      <c r="O13" s="51">
        <f>'Actuals and Projection'!O27</f>
        <v>40760</v>
      </c>
      <c r="P13" s="51">
        <f>'Actuals and Projection'!P27</f>
        <v>40760</v>
      </c>
      <c r="Q13" s="51">
        <f>'Actuals and Projection'!Q27</f>
        <v>40760</v>
      </c>
      <c r="R13" s="51">
        <f>'Actuals and Projection'!R27</f>
        <v>40760</v>
      </c>
      <c r="S13" s="51">
        <f>'Actuals and Projection'!S27</f>
        <v>40760</v>
      </c>
      <c r="T13" s="51">
        <f>'Actuals and Projection'!T27</f>
        <v>40760</v>
      </c>
      <c r="U13" s="51">
        <f>'Actuals and Projection'!U27</f>
        <v>40760</v>
      </c>
      <c r="V13" s="51">
        <f>'Actuals and Projection'!V27</f>
        <v>40760</v>
      </c>
      <c r="W13" s="51">
        <f>'Actuals and Projection'!W27</f>
        <v>40760</v>
      </c>
      <c r="X13" s="51">
        <f>'Actuals and Projection'!X27</f>
        <v>40760</v>
      </c>
      <c r="Y13" s="51">
        <f>'Actuals and Projection'!Y27</f>
        <v>40760</v>
      </c>
      <c r="Z13" s="51">
        <f>'Actuals and Projection'!Z27</f>
        <v>40760</v>
      </c>
      <c r="AA13" s="4"/>
      <c r="AB13" s="4"/>
      <c r="AC13" s="4"/>
      <c r="AD13" s="4"/>
      <c r="AE13" s="4"/>
      <c r="AF13" s="4"/>
      <c r="AG13" s="4"/>
      <c r="AH13" s="4"/>
      <c r="AI13" s="4"/>
      <c r="AJ13" s="4"/>
      <c r="AK13" s="4"/>
      <c r="AL13" s="4"/>
      <c r="AM13" s="4"/>
      <c r="AN13" s="4"/>
      <c r="AO13" s="4"/>
      <c r="AP13" s="4"/>
      <c r="AQ13" s="4"/>
      <c r="AR13" s="4"/>
      <c r="AS13" s="4"/>
      <c r="AT13" s="4"/>
      <c r="AU13" s="4"/>
      <c r="AV13" s="4"/>
      <c r="AW13" s="4"/>
      <c r="AX13" s="1"/>
      <c r="AY13" s="1"/>
      <c r="AZ13" s="1"/>
    </row>
    <row r="14" ht="10.5" customHeight="1" thickBot="1"/>
    <row r="15" spans="1:27" ht="24" customHeight="1" thickBot="1">
      <c r="A15" s="60"/>
      <c r="B15" s="57" t="s">
        <v>46</v>
      </c>
      <c r="C15" s="58">
        <f>C9-C13</f>
        <v>64064.00001538438</v>
      </c>
      <c r="D15" s="58">
        <f>D9-D13</f>
        <v>-41135</v>
      </c>
      <c r="E15" s="58">
        <f aca="true" t="shared" si="3" ref="E15:K15">E9-E13</f>
        <v>-38335</v>
      </c>
      <c r="F15" s="58">
        <f t="shared" si="3"/>
        <v>-33935</v>
      </c>
      <c r="G15" s="58">
        <f t="shared" si="3"/>
        <v>48065</v>
      </c>
      <c r="H15" s="58">
        <f t="shared" si="3"/>
        <v>14565</v>
      </c>
      <c r="I15" s="58">
        <f t="shared" si="3"/>
        <v>-39185</v>
      </c>
      <c r="J15" s="58">
        <f t="shared" si="3"/>
        <v>17315</v>
      </c>
      <c r="K15" s="58">
        <f t="shared" si="3"/>
        <v>2648.3333333333358</v>
      </c>
      <c r="L15" s="58">
        <f aca="true" t="shared" si="4" ref="L15:Z15">L9-L13</f>
        <v>3565</v>
      </c>
      <c r="M15" s="58">
        <f t="shared" si="4"/>
        <v>18565</v>
      </c>
      <c r="N15" s="58">
        <f t="shared" si="4"/>
        <v>4565</v>
      </c>
      <c r="O15" s="58">
        <f t="shared" si="4"/>
        <v>18515</v>
      </c>
      <c r="P15" s="58">
        <f t="shared" si="4"/>
        <v>3515</v>
      </c>
      <c r="Q15" s="58">
        <f t="shared" si="4"/>
        <v>3515</v>
      </c>
      <c r="R15" s="58">
        <f t="shared" si="4"/>
        <v>3515</v>
      </c>
      <c r="S15" s="58">
        <f t="shared" si="4"/>
        <v>9765</v>
      </c>
      <c r="T15" s="58">
        <f t="shared" si="4"/>
        <v>9765</v>
      </c>
      <c r="U15" s="58">
        <f t="shared" si="4"/>
        <v>18515</v>
      </c>
      <c r="V15" s="58">
        <f t="shared" si="4"/>
        <v>3515</v>
      </c>
      <c r="W15" s="58">
        <f t="shared" si="4"/>
        <v>3515</v>
      </c>
      <c r="X15" s="58">
        <f t="shared" si="4"/>
        <v>-485</v>
      </c>
      <c r="Y15" s="58">
        <f t="shared" si="4"/>
        <v>14515</v>
      </c>
      <c r="Z15" s="58">
        <f t="shared" si="4"/>
        <v>3515</v>
      </c>
      <c r="AA15" s="113">
        <f>SUM(C15:Z15)</f>
        <v>112442.33334871772</v>
      </c>
    </row>
    <row r="16" ht="12.75" customHeight="1">
      <c r="B16" s="14"/>
    </row>
    <row r="18" spans="1:52" s="77" customFormat="1" ht="18" customHeight="1">
      <c r="A18" s="76"/>
      <c r="B18" s="77" t="s">
        <v>61</v>
      </c>
      <c r="C18" s="78">
        <f>D5+C15</f>
        <v>220064.00001538437</v>
      </c>
      <c r="D18" s="79">
        <f>D8+D15</f>
        <v>178929.00001538437</v>
      </c>
      <c r="E18" s="79">
        <f aca="true" t="shared" si="5" ref="E18:K18">E8+E15</f>
        <v>140594.00001538437</v>
      </c>
      <c r="F18" s="79">
        <f t="shared" si="5"/>
        <v>106659.00001538437</v>
      </c>
      <c r="G18" s="79">
        <f t="shared" si="5"/>
        <v>154724.00001538437</v>
      </c>
      <c r="H18" s="79">
        <f t="shared" si="5"/>
        <v>169289.00001538437</v>
      </c>
      <c r="I18" s="79">
        <f t="shared" si="5"/>
        <v>130104.00001538437</v>
      </c>
      <c r="J18" s="79">
        <f t="shared" si="5"/>
        <v>147419.00001538437</v>
      </c>
      <c r="K18" s="79">
        <f t="shared" si="5"/>
        <v>150067.33334871772</v>
      </c>
      <c r="L18" s="79">
        <f>L8+L15</f>
        <v>153632.33334871772</v>
      </c>
      <c r="M18" s="79">
        <f aca="true" t="shared" si="6" ref="M18:Z18">M8+M15</f>
        <v>172197.33334871772</v>
      </c>
      <c r="N18" s="79">
        <f t="shared" si="6"/>
        <v>176762.33334871772</v>
      </c>
      <c r="O18" s="79">
        <f t="shared" si="6"/>
        <v>195277.33334871772</v>
      </c>
      <c r="P18" s="79">
        <f t="shared" si="6"/>
        <v>198792.33334871772</v>
      </c>
      <c r="Q18" s="79">
        <f t="shared" si="6"/>
        <v>202307.33334871772</v>
      </c>
      <c r="R18" s="79">
        <f t="shared" si="6"/>
        <v>205822.33334871772</v>
      </c>
      <c r="S18" s="79">
        <f t="shared" si="6"/>
        <v>215587.33334871772</v>
      </c>
      <c r="T18" s="79">
        <f t="shared" si="6"/>
        <v>225352.33334871772</v>
      </c>
      <c r="U18" s="79">
        <f t="shared" si="6"/>
        <v>243867.33334871772</v>
      </c>
      <c r="V18" s="79">
        <f t="shared" si="6"/>
        <v>247382.33334871772</v>
      </c>
      <c r="W18" s="79">
        <f t="shared" si="6"/>
        <v>250897.33334871772</v>
      </c>
      <c r="X18" s="79">
        <f t="shared" si="6"/>
        <v>250412.33334871772</v>
      </c>
      <c r="Y18" s="79">
        <f t="shared" si="6"/>
        <v>264927.3333487177</v>
      </c>
      <c r="Z18" s="79">
        <f t="shared" si="6"/>
        <v>268442.3333487177</v>
      </c>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76"/>
      <c r="AY18" s="76"/>
      <c r="AZ18" s="76"/>
    </row>
    <row r="19" spans="2:49" s="81" customFormat="1" ht="12.75" customHeight="1">
      <c r="B19" s="82" t="s">
        <v>62</v>
      </c>
      <c r="C19" s="116">
        <f>C18/'Actuals and Projection'!C44</f>
        <v>5.684792438915073</v>
      </c>
      <c r="D19" s="81">
        <f>D18/'Actuals and Projection'!E44</f>
        <v>4.128971962971833</v>
      </c>
      <c r="E19" s="81">
        <f>E18/'Actuals and Projection'!F44</f>
        <v>3.34402600528148</v>
      </c>
      <c r="F19" s="81">
        <f>F18/'Actuals and Projection'!F44</f>
        <v>2.5368825818294862</v>
      </c>
      <c r="G19" s="81">
        <f>G18/'Actuals and Projection'!G44</f>
        <v>3.5652744977333803</v>
      </c>
      <c r="H19" s="81">
        <f>H18/'Actuals and Projection'!H44</f>
        <v>3.9452109069071164</v>
      </c>
      <c r="I19" s="81">
        <f>I18/'Actuals and Projection'!I44</f>
        <v>2.7779224941899088</v>
      </c>
      <c r="J19" s="81">
        <f>J18/'Actuals and Projection'!J44</f>
        <v>3.2150450201192964</v>
      </c>
      <c r="K19" s="81">
        <f>K18/'Actuals and Projection'!K44</f>
        <v>3.32470160378959</v>
      </c>
      <c r="L19" s="81">
        <f>L18/'Actuals and Projection'!E44</f>
        <v>3.545225184001793</v>
      </c>
      <c r="M19" s="81">
        <f>M18/'Actuals and Projection'!F44</f>
        <v>4.095710774963554</v>
      </c>
      <c r="N19" s="81">
        <f>N18/'Actuals and Projection'!G44</f>
        <v>4.073099449247485</v>
      </c>
      <c r="O19" s="81">
        <f>O18/'Actuals and Projection'!H44</f>
        <v>4.55085838612719</v>
      </c>
      <c r="P19" s="81">
        <f>P18/'Actuals and Projection'!I44</f>
        <v>4.244525106196599</v>
      </c>
      <c r="Q19" s="81">
        <f>Q18/'Actuals and Projection'!J44</f>
        <v>4.412098742689422</v>
      </c>
      <c r="R19" s="81">
        <f>R18/'Actuals and Projection'!K44</f>
        <v>4.559938705581354</v>
      </c>
      <c r="S19" s="81">
        <f>S18/'Actuals and Projection'!L44</f>
        <v>4.840952412979973</v>
      </c>
      <c r="T19" s="81">
        <f>T18/'Actuals and Projection'!M44</f>
        <v>5.115636941819478</v>
      </c>
      <c r="U19" s="81">
        <f>U18/'Actuals and Projection'!N44</f>
        <v>5.585988561309718</v>
      </c>
      <c r="V19" s="81">
        <f>V18/'Actuals and Projection'!O44</f>
        <v>5.698011465778931</v>
      </c>
      <c r="W19" s="81">
        <f>W18/'Actuals and Projection'!P44</f>
        <v>5.806292279200583</v>
      </c>
      <c r="X19" s="81">
        <f>X18/'Actuals and Projection'!Q44</f>
        <v>5.818645437199114</v>
      </c>
      <c r="Y19" s="81">
        <f>Y18/'Actuals and Projection'!R44</f>
        <v>6.177702352934135</v>
      </c>
      <c r="Z19" s="81">
        <f>Z18/'Actuals and Projection'!S44</f>
        <v>6.27910802733736</v>
      </c>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row>
    <row r="22" ht="12.75" customHeight="1">
      <c r="B22" s="123" t="s">
        <v>121</v>
      </c>
    </row>
  </sheetData>
  <sheetProtection/>
  <mergeCells count="1">
    <mergeCell ref="A2:Z2"/>
  </mergeCells>
  <printOptions/>
  <pageMargins left="0.45" right="0.45" top="0.75" bottom="0.5" header="0.3" footer="0.3"/>
  <pageSetup fitToHeight="1" fitToWidth="1" horizontalDpi="1200" verticalDpi="12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 Bravo</dc:creator>
  <cp:keywords/>
  <dc:description/>
  <cp:lastModifiedBy>Paul Stock</cp:lastModifiedBy>
  <cp:lastPrinted>2020-03-25T16:34:34Z</cp:lastPrinted>
  <dcterms:created xsi:type="dcterms:W3CDTF">2020-03-25T01:07:29Z</dcterms:created>
  <dcterms:modified xsi:type="dcterms:W3CDTF">2020-09-10T13:10:03Z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0x010100A1D366BBC05BA34FBF9D7A61BA5077DC</vt:lpwstr>
  </property>
</Properties>
</file>